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6245" windowHeight="1077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/>
  <c r="C91" i="12"/>
  <c r="D91" i="12" s="1"/>
  <c r="C90" i="12"/>
  <c r="D90" i="12"/>
  <c r="C89" i="12"/>
  <c r="D89" i="12" s="1"/>
  <c r="C88" i="12"/>
  <c r="D88" i="12"/>
  <c r="C87" i="12"/>
  <c r="D87" i="12" s="1"/>
  <c r="C86" i="12"/>
  <c r="D86" i="12"/>
  <c r="C85" i="12"/>
  <c r="D85" i="12" s="1"/>
  <c r="C84" i="12"/>
  <c r="D84" i="12"/>
  <c r="C83" i="12"/>
  <c r="D83" i="12" s="1"/>
  <c r="C82" i="12"/>
  <c r="D82" i="12"/>
  <c r="C81" i="12"/>
  <c r="D81" i="12" s="1"/>
  <c r="C80" i="12"/>
  <c r="D80" i="12"/>
  <c r="C79" i="12"/>
  <c r="D79" i="12" s="1"/>
  <c r="C78" i="12"/>
  <c r="D78" i="12"/>
  <c r="C77" i="12"/>
  <c r="D77" i="12" s="1"/>
  <c r="C76" i="12"/>
  <c r="D76" i="12"/>
  <c r="C75" i="12"/>
  <c r="D75" i="12" s="1"/>
  <c r="C74" i="12"/>
  <c r="D74" i="12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/>
  <c r="L33" i="10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/>
  <c r="L20" i="10" s="1"/>
  <c r="F20" i="10"/>
  <c r="E20" i="10"/>
  <c r="D20" i="10"/>
  <c r="G19" i="10"/>
  <c r="K19" i="10" s="1"/>
  <c r="L19" i="10" s="1"/>
  <c r="F19" i="10"/>
  <c r="E19" i="10"/>
  <c r="D19" i="10"/>
  <c r="L18" i="10"/>
  <c r="G18" i="10"/>
  <c r="K18" i="10" s="1"/>
  <c r="F18" i="10"/>
  <c r="E18" i="10"/>
  <c r="D18" i="10"/>
  <c r="G17" i="10"/>
  <c r="K17" i="10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/>
  <c r="L13" i="10" s="1"/>
  <c r="F13" i="10"/>
  <c r="E13" i="10"/>
  <c r="D13" i="10"/>
  <c r="G12" i="10"/>
  <c r="K12" i="10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 s="1"/>
  <c r="K60" i="1"/>
  <c r="L60" i="1" s="1"/>
  <c r="H60" i="1"/>
  <c r="K59" i="1"/>
  <c r="L59" i="1" s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L53" i="1" s="1"/>
  <c r="K52" i="1"/>
  <c r="L52" i="1" s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L46" i="1" s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H32" i="1"/>
  <c r="L32" i="1" s="1"/>
  <c r="K31" i="1"/>
  <c r="L31" i="1" s="1"/>
  <c r="J31" i="1"/>
  <c r="J30" i="1"/>
  <c r="K30" i="1" s="1"/>
  <c r="H30" i="1"/>
  <c r="J29" i="1"/>
  <c r="K29" i="1"/>
  <c r="L29" i="1" s="1"/>
  <c r="H29" i="1"/>
  <c r="J28" i="1"/>
  <c r="K28" i="1"/>
  <c r="H28" i="1"/>
  <c r="J27" i="1"/>
  <c r="K27" i="1"/>
  <c r="L27" i="1"/>
  <c r="H27" i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/>
  <c r="L19" i="1"/>
  <c r="H19" i="1"/>
  <c r="J18" i="1"/>
  <c r="K18" i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L6" i="1" s="1"/>
  <c r="H6" i="1"/>
  <c r="J5" i="1"/>
  <c r="K5" i="1" s="1"/>
  <c r="L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J6" i="5" s="1"/>
  <c r="K6" i="5" s="1"/>
  <c r="E9" i="5"/>
  <c r="F9" i="5"/>
  <c r="G9" i="5"/>
  <c r="H9" i="5" s="1"/>
  <c r="I9" i="5"/>
  <c r="E11" i="5"/>
  <c r="F11" i="5"/>
  <c r="G11" i="5"/>
  <c r="H11" i="5" s="1"/>
  <c r="I11" i="5"/>
  <c r="E17" i="5"/>
  <c r="F17" i="5"/>
  <c r="G17" i="5"/>
  <c r="H17" i="5" s="1"/>
  <c r="L17" i="5" s="1"/>
  <c r="M17" i="5" s="1"/>
  <c r="I17" i="5"/>
  <c r="J17" i="5" s="1"/>
  <c r="K17" i="5" s="1"/>
  <c r="E7" i="5"/>
  <c r="F7" i="5"/>
  <c r="G7" i="5"/>
  <c r="H7" i="5" s="1"/>
  <c r="I7" i="5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E10" i="5"/>
  <c r="F10" i="5"/>
  <c r="G10" i="5"/>
  <c r="H10" i="5" s="1"/>
  <c r="I10" i="5"/>
  <c r="J10" i="5" s="1"/>
  <c r="K10" i="5" s="1"/>
  <c r="E13" i="5"/>
  <c r="F13" i="5"/>
  <c r="G13" i="5"/>
  <c r="H13" i="5" s="1"/>
  <c r="I13" i="5"/>
  <c r="J13" i="5" s="1"/>
  <c r="K13" i="5" s="1"/>
  <c r="E12" i="5"/>
  <c r="F12" i="5"/>
  <c r="G12" i="5"/>
  <c r="H12" i="5" s="1"/>
  <c r="I12" i="5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J18" i="5" s="1"/>
  <c r="K18" i="5" s="1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 s="1"/>
  <c r="I23" i="5"/>
  <c r="E24" i="5"/>
  <c r="F24" i="5"/>
  <c r="G24" i="5"/>
  <c r="H24" i="5" s="1"/>
  <c r="I24" i="5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/>
  <c r="K30" i="5" s="1"/>
  <c r="E31" i="5"/>
  <c r="F31" i="5"/>
  <c r="G31" i="5"/>
  <c r="H31" i="5" s="1"/>
  <c r="I31" i="5"/>
  <c r="J31" i="5" s="1"/>
  <c r="K31" i="5" s="1"/>
  <c r="L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J33" i="5" s="1"/>
  <c r="K33" i="5" s="1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J37" i="5" s="1"/>
  <c r="K37" i="5" s="1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J39" i="5" s="1"/>
  <c r="K39" i="5" s="1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E6" i="8"/>
  <c r="F6" i="8"/>
  <c r="N6" i="8"/>
  <c r="E7" i="8"/>
  <c r="F7" i="8"/>
  <c r="N7" i="8"/>
  <c r="E12" i="8"/>
  <c r="F12" i="8"/>
  <c r="N12" i="8"/>
  <c r="E8" i="8"/>
  <c r="F8" i="8"/>
  <c r="N8" i="8"/>
  <c r="E9" i="8"/>
  <c r="F9" i="8"/>
  <c r="N9" i="8"/>
  <c r="E11" i="8"/>
  <c r="F11" i="8"/>
  <c r="N11" i="8"/>
  <c r="O11" i="8" s="1"/>
  <c r="P11" i="8" s="1"/>
  <c r="E5" i="8"/>
  <c r="F5" i="8"/>
  <c r="N5" i="8"/>
  <c r="E10" i="8"/>
  <c r="F10" i="8"/>
  <c r="N10" i="8"/>
  <c r="E13" i="8"/>
  <c r="F13" i="8"/>
  <c r="N13" i="8"/>
  <c r="O13" i="8" s="1"/>
  <c r="P13" i="8" s="1"/>
  <c r="E14" i="8"/>
  <c r="F14" i="8"/>
  <c r="N14" i="8"/>
  <c r="E15" i="8"/>
  <c r="F15" i="8"/>
  <c r="N15" i="8"/>
  <c r="E16" i="8"/>
  <c r="F16" i="8"/>
  <c r="N16" i="8"/>
  <c r="E17" i="8"/>
  <c r="F17" i="8"/>
  <c r="N17" i="8"/>
  <c r="O17" i="8" s="1"/>
  <c r="P17" i="8" s="1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E21" i="8"/>
  <c r="F21" i="8"/>
  <c r="N21" i="8"/>
  <c r="E22" i="8"/>
  <c r="F22" i="8"/>
  <c r="N22" i="8"/>
  <c r="E23" i="8"/>
  <c r="F23" i="8"/>
  <c r="N23" i="8"/>
  <c r="E24" i="8"/>
  <c r="F24" i="8"/>
  <c r="N24" i="8"/>
  <c r="E25" i="8"/>
  <c r="F25" i="8"/>
  <c r="N25" i="8"/>
  <c r="E26" i="8"/>
  <c r="F26" i="8"/>
  <c r="N26" i="8"/>
  <c r="O26" i="8" s="1"/>
  <c r="P26" i="8" s="1"/>
  <c r="E27" i="8"/>
  <c r="F27" i="8"/>
  <c r="N27" i="8"/>
  <c r="O27" i="8" s="1"/>
  <c r="P27" i="8" s="1"/>
  <c r="E28" i="8"/>
  <c r="F28" i="8"/>
  <c r="N28" i="8"/>
  <c r="E29" i="8"/>
  <c r="F29" i="8"/>
  <c r="N29" i="8"/>
  <c r="E30" i="8"/>
  <c r="F30" i="8"/>
  <c r="N30" i="8"/>
  <c r="O30" i="8" s="1"/>
  <c r="P30" i="8" s="1"/>
  <c r="F31" i="8"/>
  <c r="N31" i="8"/>
  <c r="E32" i="8"/>
  <c r="F32" i="8"/>
  <c r="N32" i="8"/>
  <c r="O32" i="8" s="1"/>
  <c r="P32" i="8" s="1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E39" i="8"/>
  <c r="F39" i="8"/>
  <c r="N39" i="8"/>
  <c r="O39" i="8" s="1"/>
  <c r="P39" i="8" s="1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11" i="5"/>
  <c r="K11" i="5" s="1"/>
  <c r="J14" i="5"/>
  <c r="K14" i="5" s="1"/>
  <c r="F41" i="8"/>
  <c r="L10" i="1"/>
  <c r="L12" i="1"/>
  <c r="L14" i="1"/>
  <c r="L16" i="1"/>
  <c r="L18" i="1"/>
  <c r="L20" i="1"/>
  <c r="L24" i="1"/>
  <c r="L26" i="1"/>
  <c r="L28" i="1"/>
  <c r="L30" i="1"/>
  <c r="L45" i="1"/>
  <c r="L47" i="1"/>
  <c r="L54" i="1"/>
  <c r="M5" i="8"/>
  <c r="J7" i="5"/>
  <c r="K7" i="5" s="1"/>
  <c r="J23" i="5"/>
  <c r="K23" i="5" s="1"/>
  <c r="J16" i="5"/>
  <c r="K16" i="5" s="1"/>
  <c r="J9" i="5"/>
  <c r="K9" i="5" s="1"/>
  <c r="J24" i="5"/>
  <c r="K24" i="5" s="1"/>
  <c r="L24" i="5" s="1"/>
  <c r="J12" i="5"/>
  <c r="K12" i="5" s="1"/>
  <c r="L29" i="5" l="1"/>
  <c r="M29" i="5" s="1"/>
  <c r="L27" i="5"/>
  <c r="L13" i="5"/>
  <c r="L34" i="5"/>
  <c r="M34" i="5" s="1"/>
  <c r="L33" i="5"/>
  <c r="N33" i="5" s="1"/>
  <c r="O10" i="8"/>
  <c r="P10" i="8" s="1"/>
  <c r="J41" i="5"/>
  <c r="K41" i="5" s="1"/>
  <c r="L41" i="5" s="1"/>
  <c r="L22" i="5"/>
  <c r="N22" i="5" s="1"/>
  <c r="L14" i="5"/>
  <c r="L11" i="5"/>
  <c r="O7" i="8"/>
  <c r="P7" i="8" s="1"/>
  <c r="O16" i="8"/>
  <c r="P16" i="8" s="1"/>
  <c r="O38" i="8"/>
  <c r="P38" i="8" s="1"/>
  <c r="O23" i="8"/>
  <c r="P23" i="8" s="1"/>
  <c r="O40" i="8"/>
  <c r="P40" i="8" s="1"/>
  <c r="O36" i="8"/>
  <c r="P36" i="8" s="1"/>
  <c r="O35" i="8"/>
  <c r="P35" i="8" s="1"/>
  <c r="O22" i="8"/>
  <c r="P22" i="8" s="1"/>
  <c r="O5" i="8"/>
  <c r="P5" i="8" s="1"/>
  <c r="O21" i="8"/>
  <c r="P21" i="8" s="1"/>
  <c r="O12" i="8"/>
  <c r="P12" i="8" s="1"/>
  <c r="O20" i="8"/>
  <c r="P20" i="8" s="1"/>
  <c r="O28" i="8"/>
  <c r="P28" i="8" s="1"/>
  <c r="O6" i="8"/>
  <c r="P6" i="8" s="1"/>
  <c r="O37" i="8"/>
  <c r="P37" i="8" s="1"/>
  <c r="O31" i="8"/>
  <c r="P31" i="8" s="1"/>
  <c r="O15" i="8"/>
  <c r="P15" i="8" s="1"/>
  <c r="O8" i="8"/>
  <c r="P8" i="8" s="1"/>
  <c r="O14" i="8"/>
  <c r="P14" i="8" s="1"/>
  <c r="O24" i="8"/>
  <c r="P24" i="8" s="1"/>
  <c r="O9" i="8"/>
  <c r="P9" i="8" s="1"/>
  <c r="O25" i="8"/>
  <c r="P25" i="8" s="1"/>
  <c r="O41" i="8"/>
  <c r="P41" i="8" s="1"/>
  <c r="O33" i="8"/>
  <c r="P33" i="8" s="1"/>
  <c r="O29" i="8"/>
  <c r="P29" i="8" s="1"/>
  <c r="L19" i="5"/>
  <c r="M19" i="5" s="1"/>
  <c r="L32" i="5"/>
  <c r="N32" i="5" s="1"/>
  <c r="L7" i="5"/>
  <c r="L18" i="5"/>
  <c r="N18" i="5" s="1"/>
  <c r="L9" i="5"/>
  <c r="L16" i="5"/>
  <c r="M16" i="5" s="1"/>
  <c r="L8" i="5"/>
  <c r="L30" i="5"/>
  <c r="N30" i="5" s="1"/>
  <c r="L10" i="5"/>
  <c r="L6" i="5"/>
  <c r="L36" i="5"/>
  <c r="M36" i="5" s="1"/>
  <c r="L35" i="5"/>
  <c r="M35" i="5" s="1"/>
  <c r="L23" i="5"/>
  <c r="M23" i="5" s="1"/>
  <c r="L39" i="5"/>
  <c r="N39" i="5" s="1"/>
  <c r="L38" i="5"/>
  <c r="N38" i="5" s="1"/>
  <c r="L21" i="5"/>
  <c r="N21" i="5" s="1"/>
  <c r="L28" i="5"/>
  <c r="M28" i="5" s="1"/>
  <c r="L37" i="5"/>
  <c r="N37" i="5" s="1"/>
  <c r="L20" i="5"/>
  <c r="N20" i="5" s="1"/>
  <c r="L12" i="5"/>
  <c r="L40" i="5"/>
  <c r="N40" i="5" s="1"/>
  <c r="L25" i="5"/>
  <c r="N25" i="5" s="1"/>
  <c r="L15" i="5"/>
  <c r="L26" i="5"/>
  <c r="M26" i="5" s="1"/>
  <c r="L5" i="5"/>
  <c r="N12" i="5" s="1"/>
  <c r="M37" i="5"/>
  <c r="M31" i="5"/>
  <c r="N31" i="5"/>
  <c r="N29" i="5"/>
  <c r="M20" i="5"/>
  <c r="N24" i="5"/>
  <c r="M24" i="5"/>
  <c r="M27" i="5"/>
  <c r="N27" i="5"/>
  <c r="N17" i="5"/>
  <c r="L17" i="1"/>
  <c r="H41" i="8"/>
  <c r="M39" i="8"/>
  <c r="M7" i="8"/>
  <c r="H9" i="8"/>
  <c r="J14" i="8"/>
  <c r="G19" i="8"/>
  <c r="I21" i="8"/>
  <c r="M23" i="8"/>
  <c r="H28" i="8"/>
  <c r="J30" i="8"/>
  <c r="G35" i="8"/>
  <c r="I37" i="8"/>
  <c r="J5" i="8"/>
  <c r="M41" i="8"/>
  <c r="G5" i="8"/>
  <c r="H5" i="8"/>
  <c r="H10" i="8"/>
  <c r="J12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7" i="8"/>
  <c r="I8" i="8"/>
  <c r="M11" i="8"/>
  <c r="H16" i="8"/>
  <c r="J18" i="8"/>
  <c r="G23" i="8"/>
  <c r="I25" i="8"/>
  <c r="M27" i="8"/>
  <c r="H32" i="8"/>
  <c r="J34" i="8"/>
  <c r="G39" i="8"/>
  <c r="H6" i="8"/>
  <c r="I7" i="8"/>
  <c r="J10" i="8"/>
  <c r="G8" i="8"/>
  <c r="M8" i="8"/>
  <c r="H12" i="8"/>
  <c r="I11" i="8"/>
  <c r="J9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7" i="8"/>
  <c r="G10" i="8"/>
  <c r="M10" i="8"/>
  <c r="H8" i="8"/>
  <c r="I12" i="8"/>
  <c r="J11" i="8"/>
  <c r="G9" i="8"/>
  <c r="M9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7" i="8"/>
  <c r="I10" i="8"/>
  <c r="J8" i="8"/>
  <c r="G12" i="8"/>
  <c r="M12" i="8"/>
  <c r="H11" i="8"/>
  <c r="I9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K38" i="8" s="1"/>
  <c r="L38" i="8" s="1"/>
  <c r="M38" i="8"/>
  <c r="H39" i="8"/>
  <c r="I40" i="8"/>
  <c r="K22" i="8" l="1"/>
  <c r="L22" i="8" s="1"/>
  <c r="K34" i="8"/>
  <c r="L34" i="8" s="1"/>
  <c r="K6" i="8"/>
  <c r="L6" i="8" s="1"/>
  <c r="M6" i="5"/>
  <c r="M7" i="5"/>
  <c r="M10" i="5"/>
  <c r="N13" i="5"/>
  <c r="M14" i="5"/>
  <c r="N9" i="5"/>
  <c r="N11" i="5"/>
  <c r="N15" i="5"/>
  <c r="M12" i="5"/>
  <c r="M15" i="5"/>
  <c r="Q38" i="8"/>
  <c r="R38" i="8" s="1"/>
  <c r="N35" i="5"/>
  <c r="N34" i="5"/>
  <c r="M11" i="5"/>
  <c r="M33" i="5"/>
  <c r="N10" i="5"/>
  <c r="N19" i="5"/>
  <c r="Q22" i="8"/>
  <c r="R22" i="8" s="1"/>
  <c r="Q6" i="8"/>
  <c r="M38" i="5"/>
  <c r="N36" i="5"/>
  <c r="N7" i="5"/>
  <c r="M22" i="5"/>
  <c r="M18" i="5"/>
  <c r="M32" i="5"/>
  <c r="M25" i="5"/>
  <c r="M30" i="5"/>
  <c r="N14" i="5"/>
  <c r="N6" i="5"/>
  <c r="M39" i="5"/>
  <c r="N16" i="5"/>
  <c r="M13" i="5"/>
  <c r="N23" i="5"/>
  <c r="M9" i="5"/>
  <c r="M21" i="5"/>
  <c r="N28" i="5"/>
  <c r="N26" i="5"/>
  <c r="N8" i="5"/>
  <c r="M8" i="5"/>
  <c r="M4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2" i="8"/>
  <c r="L12" i="8" s="1"/>
  <c r="Q12" i="8" s="1"/>
  <c r="K40" i="8"/>
  <c r="L40" i="8" s="1"/>
  <c r="Q40" i="8" s="1"/>
  <c r="K24" i="8"/>
  <c r="L24" i="8" s="1"/>
  <c r="Q24" i="8" s="1"/>
  <c r="K10" i="8"/>
  <c r="L10" i="8" s="1"/>
  <c r="Q10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S38" i="8"/>
  <c r="Q34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9" i="8"/>
  <c r="L9" i="8" s="1"/>
  <c r="Q9" i="8" s="1"/>
  <c r="K25" i="8"/>
  <c r="L25" i="8" s="1"/>
  <c r="Q25" i="8" s="1"/>
  <c r="K8" i="8"/>
  <c r="L8" i="8" s="1"/>
  <c r="Q8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10" i="8" l="1"/>
  <c r="S6" i="8"/>
  <c r="S22" i="8"/>
  <c r="R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<sst xmlns="http://schemas.openxmlformats.org/spreadsheetml/2006/main" count="520" uniqueCount="295">
  <si>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</si>
  <si>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</si>
  <si>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</si>
  <si>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</si>
  <si>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</si>
  <si>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</si>
  <si>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</si>
  <si>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</si>
  <si>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</si>
  <si>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</si>
  <si>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</si>
  <si>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</si>
  <si>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</si>
  <si>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</si>
  <si>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</si>
  <si>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</si>
  <si>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</si>
  <si>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</si>
  <si>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</si>
  <si>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</si>
  <si>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</si>
  <si>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</si>
  <si>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</si>
  <si>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</si>
  <si>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</si>
  <si>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</si>
  <si>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</si>
  <si>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</si>
  <si>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</si>
  <si>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</si>
  <si>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</si>
  <si>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</si>
  <si>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</si>
  <si>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</si>
  <si>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</si>
  <si>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</si>
  <si>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</si>
  <si>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</si>
  <si>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</si>
  <si>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</si>
  <si>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</si>
  <si>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</si>
  <si>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</si>
  <si>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</si>
  <si>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</si>
  <si>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</si>
  <si>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</si>
  <si>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</si>
  <si>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</si>
  <si>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</si>
  <si>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</si>
  <si>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</si>
  <si>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</si>
  <si>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</si>
  <si>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</si>
  <si>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</si>
  <si>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</si>
  <si>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</si>
  <si>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</si>
  <si>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</si>
  <si>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</si>
  <si>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</si>
  <si>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</si>
  <si>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</si>
  <si>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</si>
  <si>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</si>
  <si>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</si>
  <si>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</si>
  <si>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</si>
  <si>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</si>
  <si>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</si>
  <si>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</si>
  <si>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</si>
  <si>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</si>
  <si>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</si>
  <si>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</si>
  <si>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</si>
  <si>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</si>
  <si>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</si>
  <si>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</si>
  <si>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</si>
  <si>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</si>
  <si>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</si>
  <si>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</si>
  <si>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</si>
  <si>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</si>
  <si>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</si>
  <si>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</si>
  <si>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</si>
  <si>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</si>
  <si>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</si>
  <si>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</si>
  <si>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</si>
  <si>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</si>
  <si>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</si>
  <si>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</si>
  <si>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</si>
  <si>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</si>
  <si>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</si>
  <si>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</si>
  <si>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</si>
  <si>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</si>
  <si>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</si>
  <si>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</si>
  <si>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</si>
  <si>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</si>
  <si>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</si>
  <si>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</si>
  <si>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</si>
  <si>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</si>
  <si>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</si>
  <si>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</si>
  <si>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</si>
  <si>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</si>
  <si>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</si>
  <si>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</si>
  <si>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</si>
  <si>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</si>
  <si>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</si>
  <si>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</si>
  <si>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</si>
  <si>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</si>
  <si>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</si>
  <si>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</si>
  <si>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</si>
  <si>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</si>
  <si>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</si>
  <si>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</si>
  <si>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</si>
  <si>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</si>
  <si>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</si>
  <si>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</si>
  <si>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</si>
  <si>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</si>
  <si>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</si>
  <si>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</si>
  <si>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</si>
  <si>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</si>
  <si>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</si>
  <si>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</si>
  <si>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</si>
  <si>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</si>
  <si>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</si>
  <si>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</si>
  <si>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</si>
  <si>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</si>
  <si>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</si>
  <si>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</si>
  <si>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</si>
  <si>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</si>
  <si>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</si>
  <si>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</si>
  <si>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</si>
  <si>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</si>
  <si>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</si>
  <si>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</si>
  <si>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</si>
  <si>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</si>
  <si>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</si>
  <si>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</si>
  <si>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</si>
  <si>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</si>
  <si>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</si>
  <si>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</si>
  <si>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</si>
  <si>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</si>
  <si>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</si>
  <si>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</si>
  <si>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</si>
  <si>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</si>
  <si>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</si>
  <si>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ひねもすＩＶ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</si>
  <si>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</si>
  <si>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</si>
  <si>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</si>
  <si>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</si>
  <si>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</si>
  <si>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</si>
  <si>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</si>
  <si>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</si>
  <si>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</si>
  <si>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</si>
  <si>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</si>
  <si>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</si>
  <si>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</si>
  <si>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</si>
  <si>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</si>
  <si>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</si>
  <si>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</si>
  <si>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</si>
  <si>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</si>
  <si>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</si>
  <si>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</si>
  <si>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</si>
  <si>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</si>
  <si>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</si>
  <si>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</si>
  <si>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</si>
  <si>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</si>
  <si>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</si>
  <si>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</si>
  <si>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</si>
  <si>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</si>
  <si>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</si>
  <si>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</si>
  <si>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</si>
  <si>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</si>
  <si>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</si>
  <si>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</si>
  <si>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</si>
  <si>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</si>
  <si>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</si>
  <si>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</si>
  <si>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</si>
  <si>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</si>
  <si>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</si>
  <si>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</si>
  <si>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</si>
  <si>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</si>
  <si>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</si>
  <si>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</si>
  <si>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</si>
  <si>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</si>
  <si>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</si>
  <si>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</si>
  <si>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</si>
  <si>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</si>
  <si>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</si>
  <si>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</si>
  <si>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</si>
  <si>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</si>
  <si>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</si>
  <si>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</si>
  <si>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</si>
  <si>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</si>
  <si>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</si>
  <si>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</si>
  <si>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</si>
  <si>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</si>
  <si>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</si>
  <si>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</si>
  <si>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</si>
  <si>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</si>
  <si>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</si>
  <si>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</si>
  <si>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</si>
  <si>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</si>
  <si>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</si>
  <si>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</si>
  <si>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</si>
  <si>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</si>
  <si>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</si>
  <si>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</si>
  <si>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</si>
  <si>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</si>
  <si>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</si>
  <si>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</si>
  <si>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</si>
  <si>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</si>
  <si>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</si>
  <si>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</si>
  <si>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</si>
  <si>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</si>
  <si>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</si>
  <si>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</si>
  <si>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</si>
  <si>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</si>
  <si>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</si>
  <si>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</si>
  <si>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</si>
  <si>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</si>
  <si>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</si>
  <si>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</si>
  <si>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</si>
  <si>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</si>
  <si>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</si>
  <si>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</si>
  <si>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</si>
  <si>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Summer Star</t>
    <phoneticPr fontId="2"/>
  </si>
  <si>
    <t>Summer Star</t>
    <phoneticPr fontId="2"/>
  </si>
  <si>
    <t>Davidoson 34</t>
  </si>
  <si>
    <t>Davidoson 34</t>
    <phoneticPr fontId="2"/>
  </si>
  <si>
    <t>レーティング計算表（CR98:東海ﾉﾝﾚｰﾃｨﾝｸﾞによるOYCｽﾎﾟｰﾂｶｯﾌﾟ2022）</t>
    <phoneticPr fontId="2"/>
  </si>
  <si>
    <t>レーティング計算表(OYC　Rating2022）</t>
    <phoneticPr fontId="2"/>
  </si>
  <si>
    <t>レース結果（CR98:東海ﾉﾝﾚｰﾃｨﾝｸﾞによるOYCｽﾎﾟｰﾂｶｯﾌﾟ2022）</t>
    <rPh sb="3" eb="5">
      <t>ケッカ</t>
    </rPh>
    <phoneticPr fontId="2"/>
  </si>
  <si>
    <t>レース結果　(OYC　Rating2022）</t>
    <rPh sb="3" eb="5">
      <t>ケッカ</t>
    </rPh>
    <phoneticPr fontId="2"/>
  </si>
  <si>
    <t>2022年　ポイントレース</t>
    <rPh sb="4" eb="5">
      <t>ネン</t>
    </rPh>
    <phoneticPr fontId="2"/>
  </si>
  <si>
    <t>2022.10.23</t>
    <phoneticPr fontId="2"/>
  </si>
  <si>
    <t>ON AIR</t>
    <phoneticPr fontId="2"/>
  </si>
  <si>
    <t>Ｏｎｌｙ-Ｙｏｕ２</t>
  </si>
  <si>
    <t>ＱＵＥＲＩＤＡ</t>
  </si>
  <si>
    <t>ＦＯＲＴＥ</t>
  </si>
  <si>
    <t>ＣｏｏＣｏｏ　Ｓｉｘ</t>
  </si>
  <si>
    <t>ピーターパン</t>
  </si>
  <si>
    <t>着順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</si>
</sst>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2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0" fillId="0" borderId="11" xfId="0" applyFon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C17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0" t="s">
        <v>286</v>
      </c>
      <c r="C2" s="320"/>
      <c r="D2" s="320"/>
      <c r="E2" s="211"/>
    </row>
    <row r="3" spans="2:7" s="212" customFormat="1" ht="14.25">
      <c r="B3" s="214"/>
      <c r="C3" s="214" t="s">
        <v>238</v>
      </c>
      <c r="D3" s="216" t="s">
        <v>287</v>
      </c>
      <c r="E3" s="211"/>
    </row>
    <row r="4" spans="2:7" s="212" customFormat="1" ht="17.649999999999999" customHeight="1">
      <c r="B4" s="321" t="s">
        <v>237</v>
      </c>
      <c r="C4" s="321"/>
      <c r="D4" s="217">
        <v>0.4375</v>
      </c>
      <c r="E4" s="213"/>
    </row>
    <row r="5" spans="2:7" s="212" customFormat="1" ht="17.649999999999999" customHeight="1" thickBot="1">
      <c r="B5" s="215"/>
      <c r="C5" s="215" t="s">
        <v>239</v>
      </c>
      <c r="D5" s="217" t="s">
        <v>288</v>
      </c>
      <c r="E5" s="213"/>
      <c r="G5" s="212" t="s">
        <v>250</v>
      </c>
    </row>
    <row r="6" spans="2:7" ht="14.25" thickBot="1">
      <c r="B6" s="218" t="s">
        <v>2</v>
      </c>
      <c r="C6" s="231" t="s">
        <v>3</v>
      </c>
      <c r="D6" s="232" t="s">
        <v>240</v>
      </c>
      <c r="E6" s="220" t="s">
        <v>7</v>
      </c>
      <c r="G6" t="s">
        <v>242</v>
      </c>
    </row>
    <row r="7" spans="2:7">
      <c r="B7" s="219">
        <v>1</v>
      </c>
      <c r="C7" s="233" t="s">
        <v>290</v>
      </c>
      <c r="D7" s="234">
        <v>0.47916666666666669</v>
      </c>
      <c r="E7" s="221">
        <f t="shared" ref="E7:E16" si="0">(D7-$D$4)*86400</f>
        <v>3600.0000000000018</v>
      </c>
      <c r="G7" t="s">
        <v>241</v>
      </c>
    </row>
    <row r="8" spans="2:7">
      <c r="B8" s="219">
        <v>2</v>
      </c>
      <c r="C8" s="235" t="s">
        <v>291</v>
      </c>
      <c r="D8" s="236">
        <v>0.48121527777777778</v>
      </c>
      <c r="E8" s="221">
        <f t="shared" si="0"/>
        <v>3777.0000000000005</v>
      </c>
      <c r="G8" t="s">
        <v>251</v>
      </c>
    </row>
    <row r="9" spans="2:7">
      <c r="B9" s="219">
        <v>3</v>
      </c>
      <c r="C9" s="235" t="s">
        <v>128</v>
      </c>
      <c r="D9" s="236">
        <v>0.48223379629629631</v>
      </c>
      <c r="E9" s="221">
        <f t="shared" si="0"/>
        <v>3865.0000000000014</v>
      </c>
    </row>
    <row r="10" spans="2:7">
      <c r="B10" s="219">
        <v>4</v>
      </c>
      <c r="C10" s="235" t="s">
        <v>11</v>
      </c>
      <c r="D10" s="236">
        <v>0.48249999999999998</v>
      </c>
      <c r="E10" s="221">
        <f t="shared" si="0"/>
        <v>3887.9999999999986</v>
      </c>
      <c r="G10" t="s">
        <v>243</v>
      </c>
    </row>
    <row r="11" spans="2:7">
      <c r="B11" s="219">
        <v>5</v>
      </c>
      <c r="C11" s="235" t="s">
        <v>292</v>
      </c>
      <c r="D11" s="236">
        <v>0.48266203703703708</v>
      </c>
      <c r="E11" s="221">
        <f t="shared" si="0"/>
        <v>3902.0000000000041</v>
      </c>
      <c r="G11" t="s">
        <v>244</v>
      </c>
    </row>
    <row r="12" spans="2:7">
      <c r="B12" s="219">
        <v>6</v>
      </c>
      <c r="C12" s="235" t="s">
        <v>261</v>
      </c>
      <c r="D12" s="236">
        <v>0.48423611111111109</v>
      </c>
      <c r="E12" s="221">
        <f t="shared" si="0"/>
        <v>4037.9999999999982</v>
      </c>
      <c r="G12" t="s">
        <v>245</v>
      </c>
    </row>
    <row r="13" spans="2:7">
      <c r="B13" s="219">
        <v>7</v>
      </c>
      <c r="C13" s="235" t="s">
        <v>293</v>
      </c>
      <c r="D13" s="236">
        <v>0.48431712962962964</v>
      </c>
      <c r="E13" s="221">
        <f t="shared" si="0"/>
        <v>4045.0000000000009</v>
      </c>
      <c r="G13" t="s">
        <v>246</v>
      </c>
    </row>
    <row r="14" spans="2:7">
      <c r="B14" s="219">
        <v>8</v>
      </c>
      <c r="C14" s="235" t="s">
        <v>181</v>
      </c>
      <c r="D14" s="236">
        <v>0.48832175925925925</v>
      </c>
      <c r="E14" s="221">
        <f t="shared" si="0"/>
        <v>4390.9999999999991</v>
      </c>
      <c r="F14" s="159"/>
      <c r="G14" s="34" t="s">
        <v>247</v>
      </c>
    </row>
    <row r="15" spans="2:7">
      <c r="B15" s="219">
        <v>9</v>
      </c>
      <c r="C15" s="235" t="s">
        <v>229</v>
      </c>
      <c r="D15" s="236">
        <v>0.49079861111111112</v>
      </c>
      <c r="E15" s="221">
        <f t="shared" si="0"/>
        <v>4605</v>
      </c>
      <c r="G15" s="101" t="s">
        <v>248</v>
      </c>
    </row>
    <row r="16" spans="2:7" ht="14.25" customHeight="1">
      <c r="B16" s="219">
        <v>10</v>
      </c>
      <c r="C16" s="235" t="s">
        <v>183</v>
      </c>
      <c r="D16" s="236">
        <v>0.49253472222222222</v>
      </c>
      <c r="E16" s="221">
        <f t="shared" si="0"/>
        <v>4755</v>
      </c>
      <c r="G16" s="101" t="s">
        <v>247</v>
      </c>
    </row>
    <row r="17" spans="2:7">
      <c r="B17" s="219">
        <v>11</v>
      </c>
      <c r="C17" s="235" t="s">
        <v>289</v>
      </c>
      <c r="D17" s="236">
        <v>0.4939236111111111</v>
      </c>
      <c r="E17" s="221">
        <f t="shared" ref="E17:E43" si="1">(D17-$D$4)*86400</f>
        <v>4874.9999999999991</v>
      </c>
      <c r="G17" s="101" t="s">
        <v>249</v>
      </c>
    </row>
    <row r="18" spans="2:7">
      <c r="B18" s="219">
        <v>12</v>
      </c>
      <c r="C18" s="235"/>
      <c r="D18" s="236"/>
      <c r="E18" s="221">
        <f t="shared" si="1"/>
        <v>-37800</v>
      </c>
    </row>
    <row r="19" spans="2:7">
      <c r="B19" s="219">
        <v>13</v>
      </c>
      <c r="C19" s="235"/>
      <c r="D19" s="236"/>
      <c r="E19" s="221">
        <f t="shared" si="1"/>
        <v>-37800</v>
      </c>
    </row>
    <row r="20" spans="2:7">
      <c r="B20" s="219">
        <v>14</v>
      </c>
      <c r="C20" s="235"/>
      <c r="D20" s="236"/>
      <c r="E20" s="221">
        <f t="shared" si="1"/>
        <v>-37800</v>
      </c>
    </row>
    <row r="21" spans="2:7">
      <c r="B21" s="219">
        <v>15</v>
      </c>
      <c r="C21" s="235"/>
      <c r="D21" s="236"/>
      <c r="E21" s="221">
        <f t="shared" si="1"/>
        <v>-37800</v>
      </c>
    </row>
    <row r="22" spans="2:7">
      <c r="B22" s="219">
        <v>16</v>
      </c>
      <c r="C22" s="235"/>
      <c r="D22" s="236"/>
      <c r="E22" s="221">
        <f t="shared" si="1"/>
        <v>-37800</v>
      </c>
    </row>
    <row r="23" spans="2:7">
      <c r="B23" s="219">
        <v>17</v>
      </c>
      <c r="C23" s="235"/>
      <c r="D23" s="236"/>
      <c r="E23" s="221">
        <f t="shared" si="1"/>
        <v>-37800</v>
      </c>
    </row>
    <row r="24" spans="2:7">
      <c r="B24" s="219">
        <v>18</v>
      </c>
      <c r="C24" s="235"/>
      <c r="D24" s="236"/>
      <c r="E24" s="221">
        <f t="shared" si="1"/>
        <v>-37800</v>
      </c>
    </row>
    <row r="25" spans="2:7">
      <c r="B25" s="219">
        <v>19</v>
      </c>
      <c r="C25" s="235"/>
      <c r="D25" s="236"/>
      <c r="E25" s="221">
        <f t="shared" si="1"/>
        <v>-37800</v>
      </c>
    </row>
    <row r="26" spans="2:7">
      <c r="B26" s="219">
        <v>20</v>
      </c>
      <c r="C26" s="235"/>
      <c r="D26" s="236"/>
      <c r="E26" s="221">
        <f t="shared" si="1"/>
        <v>-37800</v>
      </c>
    </row>
    <row r="27" spans="2:7">
      <c r="B27" s="219">
        <v>21</v>
      </c>
      <c r="C27" s="235"/>
      <c r="D27" s="236"/>
      <c r="E27" s="221">
        <f t="shared" si="1"/>
        <v>-37800</v>
      </c>
    </row>
    <row r="28" spans="2:7">
      <c r="B28" s="219">
        <v>22</v>
      </c>
      <c r="C28" s="235"/>
      <c r="D28" s="236"/>
      <c r="E28" s="221">
        <f t="shared" si="1"/>
        <v>-37800</v>
      </c>
    </row>
    <row r="29" spans="2:7">
      <c r="B29" s="219">
        <v>23</v>
      </c>
      <c r="C29" s="235"/>
      <c r="D29" s="236"/>
      <c r="E29" s="221">
        <f t="shared" si="1"/>
        <v>-37800</v>
      </c>
    </row>
    <row r="30" spans="2:7">
      <c r="B30" s="219">
        <v>24</v>
      </c>
      <c r="C30" s="235"/>
      <c r="D30" s="236"/>
      <c r="E30" s="221">
        <f t="shared" si="1"/>
        <v>-37800</v>
      </c>
    </row>
    <row r="31" spans="2:7">
      <c r="B31" s="219">
        <v>25</v>
      </c>
      <c r="C31" s="235"/>
      <c r="D31" s="236"/>
      <c r="E31" s="221">
        <f t="shared" si="1"/>
        <v>-37800</v>
      </c>
    </row>
    <row r="32" spans="2:7">
      <c r="B32" s="219">
        <v>26</v>
      </c>
      <c r="C32" s="235"/>
      <c r="D32" s="236"/>
      <c r="E32" s="221">
        <f t="shared" si="1"/>
        <v>-37800</v>
      </c>
    </row>
    <row r="33" spans="2:5">
      <c r="B33" s="219">
        <v>27</v>
      </c>
      <c r="C33" s="235"/>
      <c r="D33" s="236"/>
      <c r="E33" s="221">
        <f t="shared" si="1"/>
        <v>-37800</v>
      </c>
    </row>
    <row r="34" spans="2:5">
      <c r="B34" s="219">
        <v>28</v>
      </c>
      <c r="C34" s="235"/>
      <c r="D34" s="236"/>
      <c r="E34" s="221">
        <f t="shared" si="1"/>
        <v>-37800</v>
      </c>
    </row>
    <row r="35" spans="2:5">
      <c r="B35" s="219">
        <v>29</v>
      </c>
      <c r="C35" s="235"/>
      <c r="D35" s="236"/>
      <c r="E35" s="221">
        <f t="shared" si="1"/>
        <v>-37800</v>
      </c>
    </row>
    <row r="36" spans="2:5">
      <c r="B36" s="219">
        <v>30</v>
      </c>
      <c r="C36" s="235"/>
      <c r="D36" s="236"/>
      <c r="E36" s="221">
        <f t="shared" si="1"/>
        <v>-37800</v>
      </c>
    </row>
    <row r="37" spans="2:5">
      <c r="B37" s="219">
        <v>31</v>
      </c>
      <c r="C37" s="235"/>
      <c r="D37" s="236"/>
      <c r="E37" s="221">
        <f t="shared" si="1"/>
        <v>-37800</v>
      </c>
    </row>
    <row r="38" spans="2:5">
      <c r="B38" s="219">
        <v>32</v>
      </c>
      <c r="C38" s="235"/>
      <c r="D38" s="236"/>
      <c r="E38" s="221">
        <f t="shared" si="1"/>
        <v>-37800</v>
      </c>
    </row>
    <row r="39" spans="2:5">
      <c r="B39" s="219">
        <v>33</v>
      </c>
      <c r="C39" s="235"/>
      <c r="D39" s="236"/>
      <c r="E39" s="221">
        <f t="shared" si="1"/>
        <v>-37800</v>
      </c>
    </row>
    <row r="40" spans="2:5">
      <c r="B40" s="219">
        <v>34</v>
      </c>
      <c r="C40" s="235"/>
      <c r="D40" s="236"/>
      <c r="E40" s="221">
        <f t="shared" si="1"/>
        <v>-37800</v>
      </c>
    </row>
    <row r="41" spans="2:5">
      <c r="B41" s="219">
        <v>35</v>
      </c>
      <c r="C41" s="235"/>
      <c r="D41" s="236"/>
      <c r="E41" s="221">
        <f t="shared" si="1"/>
        <v>-37800</v>
      </c>
    </row>
    <row r="42" spans="2:5">
      <c r="B42" s="219">
        <v>36</v>
      </c>
      <c r="C42" s="235"/>
      <c r="D42" s="236"/>
      <c r="E42" s="221">
        <f t="shared" si="1"/>
        <v>-37800</v>
      </c>
    </row>
    <row r="43" spans="2:5" ht="14.25" thickBot="1">
      <c r="B43" s="219">
        <v>37</v>
      </c>
      <c r="C43" s="237"/>
      <c r="D43" s="238"/>
      <c r="E43" s="221">
        <f t="shared" si="1"/>
        <v>-37800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198</v>
      </c>
      <c r="D61" s="43"/>
      <c r="E61" s="1"/>
      <c r="F61"/>
      <c r="G61"/>
    </row>
  </sheetData>
  <sortState ref="B7:D17">
    <sortCondition ref="D7:D17"/>
  </sortState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topLeftCell="C1" zoomScaleNormal="100" zoomScaleSheetLayoutView="100" workbookViewId="0">
      <pane ySplit="4" topLeftCell="A5" activePane="bottomLeft" state="frozen"/>
      <selection activeCell="H4" sqref="H4"/>
      <selection pane="bottomLeft" activeCell="D1" sqref="D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2" t="s">
        <v>285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  <c r="R2" s="34"/>
      <c r="S2" s="34"/>
    </row>
    <row r="3" spans="2:19" ht="21" customHeight="1" thickBot="1">
      <c r="I3" s="45"/>
      <c r="K3" s="46" t="s">
        <v>236</v>
      </c>
      <c r="L3" s="324" t="str">
        <f>レース着順とタイム!D3</f>
        <v>2022.10.23</v>
      </c>
      <c r="M3" s="325"/>
      <c r="N3" s="4">
        <f>レース着順とタイム!D4</f>
        <v>0.4375</v>
      </c>
      <c r="R3" s="170"/>
      <c r="S3" s="170"/>
    </row>
    <row r="4" spans="2:19" ht="14.25" thickBot="1">
      <c r="B4" s="47" t="s">
        <v>1</v>
      </c>
      <c r="C4" s="48" t="s">
        <v>294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6" t="s">
        <v>59</v>
      </c>
      <c r="K4" s="250" t="s">
        <v>60</v>
      </c>
      <c r="L4" s="249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8" t="s">
        <v>8</v>
      </c>
      <c r="R4" s="5" t="s">
        <v>202</v>
      </c>
      <c r="S4" s="156" t="s">
        <v>203</v>
      </c>
    </row>
    <row r="5" spans="2:19">
      <c r="B5" s="253">
        <v>1</v>
      </c>
      <c r="C5" s="254">
        <v>1</v>
      </c>
      <c r="D5" s="233" t="s">
        <v>290</v>
      </c>
      <c r="E5" s="255" t="str">
        <f>IF(VLOOKUP(D5,'ﾚｰﾃｨﾝｸﾞ計算書(TSF)'!$D$5:$H$61,2,FALSE)=0," ",VLOOKUP(D5,'ﾚｰﾃｨﾝｸﾞ計算書(TSF)'!$D$5:$H$61,2,FALSE))</f>
        <v>210</v>
      </c>
      <c r="F5" s="239" t="str">
        <f>VLOOKUP(D5,'ﾚｰﾃｨﾝｸﾞ計算書(TSF)'!$D$5:$H$61,3,FALSE)</f>
        <v>fre-31</v>
      </c>
      <c r="G5" s="243">
        <f>VLOOKUP(D5,'レーティング計算書(OYCRating)'!$D$5:$M$41,4,FALSE)</f>
        <v>663</v>
      </c>
      <c r="H5" s="244">
        <f>VLOOKUP(D5,'レーティング計算書(OYCRating)'!$D$5:$M$41,5,FALSE)</f>
        <v>0.04</v>
      </c>
      <c r="I5" s="245">
        <f>VLOOKUP(D5,'レーティング計算書(OYCRating)'!$D$5:$M$41,6,FALSE)</f>
        <v>0</v>
      </c>
      <c r="J5" s="247">
        <f>VLOOKUP(D5,'レーティング計算書(OYCRating)'!$D$5:$M$41,7,FALSE)</f>
        <v>-0.02</v>
      </c>
      <c r="K5" s="251">
        <f>G5+H5*G5+I5*G5+J5*G5</f>
        <v>676.26</v>
      </c>
      <c r="L5" s="256">
        <f>600/K5</f>
        <v>0.88723272114275575</v>
      </c>
      <c r="M5" s="257">
        <f>VLOOKUP(D5,'レーティング計算書(OYCRating)'!$D$5:$M$41,10,FALSE)</f>
        <v>0.03</v>
      </c>
      <c r="N5" s="258">
        <f>VLOOKUP(D5,レース着順とタイム!$C$7:$D$43,2,FALSE)</f>
        <v>0.47916666666666669</v>
      </c>
      <c r="O5" s="259">
        <f>(N5-$N$3)*86400</f>
        <v>3600.0000000000018</v>
      </c>
      <c r="P5" s="260">
        <f>IF(O5&gt;0,O5,99999999)</f>
        <v>3600.0000000000018</v>
      </c>
      <c r="Q5" s="261">
        <f>P5*L5/(1-M5)</f>
        <v>3292.8224702205389</v>
      </c>
      <c r="R5" s="172"/>
      <c r="S5" s="173"/>
    </row>
    <row r="6" spans="2:19">
      <c r="B6" s="219">
        <v>2</v>
      </c>
      <c r="C6" s="194">
        <v>2</v>
      </c>
      <c r="D6" s="235" t="s">
        <v>291</v>
      </c>
      <c r="E6" s="60" t="str">
        <f>IF(VLOOKUP(D6,'ﾚｰﾃｨﾝｸﾞ計算書(TSF)'!$D$5:$H$61,2,FALSE)=0," ",VLOOKUP(D6,'ﾚｰﾃｨﾝｸﾞ計算書(TSF)'!$D$5:$H$61,2,FALSE))</f>
        <v>4167</v>
      </c>
      <c r="F6" s="240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6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8">
        <f>VLOOKUP(D6,'レーティング計算書(OYCRating)'!$D$5:$M$41,7,FALSE)</f>
        <v>-0.02</v>
      </c>
      <c r="K6" s="252">
        <f>G6+H6*G6+I6*G6+J6*G6</f>
        <v>704.08</v>
      </c>
      <c r="L6" s="242">
        <f>600/K6</f>
        <v>0.85217588910351094</v>
      </c>
      <c r="M6" s="68">
        <f>VLOOKUP(D6,'レーティング計算書(OYCRating)'!$D$5:$M$41,10,FALSE)</f>
        <v>0.03</v>
      </c>
      <c r="N6" s="165">
        <f>VLOOKUP(D6,レース着順とタイム!$C$7:$D$43,2,FALSE)</f>
        <v>0.48121527777777778</v>
      </c>
      <c r="O6" s="21">
        <f>(N6-$N$3)*86400</f>
        <v>3777.0000000000005</v>
      </c>
      <c r="P6" s="22">
        <f>IF(O6&gt;0,O6,99999999)</f>
        <v>3777.0000000000005</v>
      </c>
      <c r="Q6" s="229">
        <f>P6*L6/(1-M6)</f>
        <v>3318.2147764370734</v>
      </c>
      <c r="R6" s="157">
        <f t="shared" ref="R6:R16" si="0">IF(Q6=0, "-",Q6-Q5)</f>
        <v>25.392306216534507</v>
      </c>
      <c r="S6" s="158">
        <f t="shared" ref="S6:S16" si="1">IF(Q6=0, "-", Q6-$Q$5)</f>
        <v>25.392306216534507</v>
      </c>
    </row>
    <row r="7" spans="2:19">
      <c r="B7" s="219">
        <v>3</v>
      </c>
      <c r="C7" s="194">
        <v>3</v>
      </c>
      <c r="D7" s="235" t="s">
        <v>11</v>
      </c>
      <c r="E7" s="60" t="str">
        <f>IF(VLOOKUP(D7,'ﾚｰﾃｨﾝｸﾞ計算書(TSF)'!$D$5:$H$61,2,FALSE)=0," ",VLOOKUP(D7,'ﾚｰﾃｨﾝｸﾞ計算書(TSF)'!$D$5:$H$61,2,FALSE))</f>
        <v>JST374</v>
      </c>
      <c r="F7" s="60" t="str">
        <f>VLOOKUP(D7,'ﾚｰﾃｨﾝｸﾞ計算書(TSF)'!$D$5:$H$61,3,FALSE)</f>
        <v>yamaha-31s LTD</v>
      </c>
      <c r="G7" s="33">
        <f>VLOOKUP(D7,'レーティング計算書(OYCRating)'!$D$5:$M$41,4,FALSE)</f>
        <v>677</v>
      </c>
      <c r="H7" s="166">
        <f>VLOOKUP(D7,'レーティング計算書(OYCRating)'!$D$5:$M$41,5,FALSE)</f>
        <v>0.04</v>
      </c>
      <c r="I7" s="66">
        <f>VLOOKUP(D7,'レーティング計算書(OYCRating)'!$D$5:$M$41,6,FALSE)</f>
        <v>0</v>
      </c>
      <c r="J7" s="248">
        <f>VLOOKUP(D7,'レーティング計算書(OYCRating)'!$D$5:$M$41,7,FALSE)</f>
        <v>-0.02</v>
      </c>
      <c r="K7" s="252">
        <f>G7+H7*G7+I7*G7+J7*G7</f>
        <v>690.54000000000008</v>
      </c>
      <c r="L7" s="242">
        <f>600/K7</f>
        <v>0.86888522026240322</v>
      </c>
      <c r="M7" s="68">
        <f>VLOOKUP(D7,'レーティング計算書(OYCRating)'!$D$5:$M$41,10,FALSE)</f>
        <v>0.03</v>
      </c>
      <c r="N7" s="165">
        <f>VLOOKUP(D7,レース着順とタイム!$C$7:$D$43,2,FALSE)</f>
        <v>0.48249999999999998</v>
      </c>
      <c r="O7" s="21">
        <f>(N7-$N$3)*86400</f>
        <v>3887.9999999999986</v>
      </c>
      <c r="P7" s="22">
        <f>IF(O7&gt;0,O7,99999999)</f>
        <v>3887.9999999999986</v>
      </c>
      <c r="Q7" s="229">
        <f>P7*L7/(1-M7)</f>
        <v>3482.7069447218792</v>
      </c>
      <c r="R7" s="157">
        <f t="shared" si="0"/>
        <v>164.49216828480576</v>
      </c>
      <c r="S7" s="158">
        <f t="shared" si="1"/>
        <v>189.88447450134026</v>
      </c>
    </row>
    <row r="8" spans="2:19">
      <c r="B8" s="219">
        <v>4</v>
      </c>
      <c r="C8" s="194">
        <v>5</v>
      </c>
      <c r="D8" s="235" t="s">
        <v>261</v>
      </c>
      <c r="E8" s="60" t="str">
        <f>IF(VLOOKUP(D8,'ﾚｰﾃｨﾝｸﾞ計算書(TSF)'!$D$5:$H$61,2,FALSE)=0," ",VLOOKUP(D8,'ﾚｰﾃｨﾝｸﾞ計算書(TSF)'!$D$5:$H$61,2,FALSE))</f>
        <v xml:space="preserve"> </v>
      </c>
      <c r="F8" s="60" t="str">
        <f>VLOOKUP(D8,'ﾚｰﾃｨﾝｸﾞ計算書(TSF)'!$D$5:$H$61,3,FALSE)</f>
        <v>ｽｲﾝｸﾞ34</v>
      </c>
      <c r="G8" s="33">
        <f>VLOOKUP(D8,'レーティング計算書(OYCRating)'!$D$5:$M$41,4,FALSE)</f>
        <v>658</v>
      </c>
      <c r="H8" s="166">
        <f>VLOOKUP(D8,'レーティング計算書(OYCRating)'!$D$5:$M$41,5,FALSE)</f>
        <v>0.05</v>
      </c>
      <c r="I8" s="66">
        <f>VLOOKUP(D8,'レーティング計算書(OYCRating)'!$D$5:$M$41,6,FALSE)</f>
        <v>0</v>
      </c>
      <c r="J8" s="248">
        <f>VLOOKUP(D8,'レーティング計算書(OYCRating)'!$D$5:$M$41,7,FALSE)</f>
        <v>0</v>
      </c>
      <c r="K8" s="252">
        <f>G8+H8*G8+I8*G8+J8*G8</f>
        <v>690.9</v>
      </c>
      <c r="L8" s="242">
        <f>600/K8</f>
        <v>0.86843247937472867</v>
      </c>
      <c r="M8" s="68">
        <f>VLOOKUP(D8,'レーティング計算書(OYCRating)'!$D$5:$M$41,10,FALSE)</f>
        <v>0.03</v>
      </c>
      <c r="N8" s="165">
        <f>VLOOKUP(D8,レース着順とタイム!$C$7:$D$43,2,FALSE)</f>
        <v>0.48423611111111109</v>
      </c>
      <c r="O8" s="21">
        <f>(N8-$N$3)*86400</f>
        <v>4037.9999999999982</v>
      </c>
      <c r="P8" s="22">
        <f>IF(O8&gt;0,O8,99999999)</f>
        <v>4037.9999999999982</v>
      </c>
      <c r="Q8" s="229">
        <f>P8*L8/(1-M8)</f>
        <v>3615.1859296032503</v>
      </c>
      <c r="R8" s="157">
        <f t="shared" si="0"/>
        <v>132.47898488137116</v>
      </c>
      <c r="S8" s="158">
        <f t="shared" si="1"/>
        <v>322.36345938271143</v>
      </c>
    </row>
    <row r="9" spans="2:19">
      <c r="B9" s="219">
        <v>5</v>
      </c>
      <c r="C9" s="194">
        <v>8</v>
      </c>
      <c r="D9" s="235" t="s">
        <v>289</v>
      </c>
      <c r="E9" s="60" t="str">
        <f>IF(VLOOKUP(D9,'ﾚｰﾃｨﾝｸﾞ計算書(TSF)'!$D$5:$H$61,2,FALSE)=0," ",VLOOKUP(D9,'ﾚｰﾃｨﾝｸﾞ計算書(TSF)'!$D$5:$H$61,2,FALSE))</f>
        <v>3568</v>
      </c>
      <c r="F9" s="60" t="str">
        <f>VLOOKUP(D9,'ﾚｰﾃｨﾝｸﾞ計算書(TSF)'!$D$5:$H$61,3,FALSE)</f>
        <v>yamaha-30cII sh</v>
      </c>
      <c r="G9" s="33">
        <f>VLOOKUP(D9,'レーティング計算書(OYCRating)'!$D$5:$M$41,4,FALSE)</f>
        <v>725</v>
      </c>
      <c r="H9" s="166">
        <f>VLOOKUP(D9,'レーティング計算書(OYCRating)'!$D$5:$M$41,5,FALSE)</f>
        <v>7.0000000000000007E-2</v>
      </c>
      <c r="I9" s="66">
        <f>VLOOKUP(D9,'レーティング計算書(OYCRating)'!$D$5:$M$41,6,FALSE)</f>
        <v>0</v>
      </c>
      <c r="J9" s="248">
        <f>VLOOKUP(D9,'レーティング計算書(OYCRating)'!$D$5:$M$41,7,FALSE)</f>
        <v>0</v>
      </c>
      <c r="K9" s="252">
        <f>G9+H9*G9+I9*G9+J9*G9</f>
        <v>775.75</v>
      </c>
      <c r="L9" s="242">
        <f>600/K9</f>
        <v>0.77344505317434742</v>
      </c>
      <c r="M9" s="68">
        <f>VLOOKUP(D9,'レーティング計算書(OYCRating)'!$D$5:$M$41,10,FALSE)</f>
        <v>0</v>
      </c>
      <c r="N9" s="165">
        <f>VLOOKUP(D9,レース着順とタイム!$C$7:$D$43,2,FALSE)</f>
        <v>0.4939236111111111</v>
      </c>
      <c r="O9" s="21">
        <f>(N9-$N$3)*86400</f>
        <v>4874.9999999999991</v>
      </c>
      <c r="P9" s="22">
        <f>IF(O9&gt;0,O9,99999999)</f>
        <v>4874.9999999999991</v>
      </c>
      <c r="Q9" s="229">
        <f>P9*L9/(1-M9)</f>
        <v>3770.5446342249429</v>
      </c>
      <c r="R9" s="157">
        <f t="shared" si="0"/>
        <v>155.3587046216926</v>
      </c>
      <c r="S9" s="158">
        <f t="shared" si="1"/>
        <v>477.72216400440402</v>
      </c>
    </row>
    <row r="10" spans="2:19">
      <c r="B10" s="219">
        <v>6</v>
      </c>
      <c r="C10" s="194">
        <v>4</v>
      </c>
      <c r="D10" s="235" t="s">
        <v>292</v>
      </c>
      <c r="E10" s="60" t="str">
        <f>IF(VLOOKUP(D10,'ﾚｰﾃｨﾝｸﾞ計算書(TSF)'!$D$5:$H$61,2,FALSE)=0," ",VLOOKUP(D10,'ﾚｰﾃｨﾝｸﾞ計算書(TSF)'!$D$5:$H$61,2,FALSE))</f>
        <v>6363</v>
      </c>
      <c r="F10" s="60" t="str">
        <f>VLOOKUP(D10,'ﾚｰﾃｨﾝｸﾞ計算書(TSF)'!$D$5:$H$61,3,FALSE)</f>
        <v>Dehler36SQ</v>
      </c>
      <c r="G10" s="33">
        <f>VLOOKUP(D10,'レーティング計算書(OYCRating)'!$D$5:$M$41,4,FALSE)</f>
        <v>640</v>
      </c>
      <c r="H10" s="166">
        <f>VLOOKUP(D10,'レーティング計算書(OYCRating)'!$D$5:$M$41,5,FALSE)</f>
        <v>0.02</v>
      </c>
      <c r="I10" s="66">
        <f>VLOOKUP(D10,'レーティング計算書(OYCRating)'!$D$5:$M$41,6,FALSE)</f>
        <v>0</v>
      </c>
      <c r="J10" s="248">
        <f>VLOOKUP(D10,'レーティング計算書(OYCRating)'!$D$5:$M$41,7,FALSE)</f>
        <v>-0.02</v>
      </c>
      <c r="K10" s="252">
        <f>G10+H10*G10+I10*G10+J10*G10</f>
        <v>640</v>
      </c>
      <c r="L10" s="242">
        <f>600/K10</f>
        <v>0.9375</v>
      </c>
      <c r="M10" s="68">
        <f>VLOOKUP(D10,'レーティング計算書(OYCRating)'!$D$5:$M$41,10,FALSE)</f>
        <v>0.03</v>
      </c>
      <c r="N10" s="165">
        <f>VLOOKUP(D10,レース着順とタイム!$C$7:$D$43,2,FALSE)</f>
        <v>0.48266203703703708</v>
      </c>
      <c r="O10" s="21">
        <f>(N10-$N$3)*86400</f>
        <v>3902.0000000000041</v>
      </c>
      <c r="P10" s="22">
        <f>IF(O10&gt;0,O10,99999999)</f>
        <v>3902.0000000000041</v>
      </c>
      <c r="Q10" s="229">
        <f>P10*L10/(1-M10)</f>
        <v>3771.2628865979418</v>
      </c>
      <c r="R10" s="157">
        <f t="shared" si="0"/>
        <v>0.71825237299890432</v>
      </c>
      <c r="S10" s="158">
        <f t="shared" si="1"/>
        <v>478.44041637740293</v>
      </c>
    </row>
    <row r="11" spans="2:19">
      <c r="B11" s="219">
        <v>7</v>
      </c>
      <c r="C11" s="194">
        <v>7</v>
      </c>
      <c r="D11" s="235" t="s">
        <v>183</v>
      </c>
      <c r="E11" s="60" t="str">
        <f>IF(VLOOKUP(D11,'ﾚｰﾃｨﾝｸﾞ計算書(TSF)'!$D$5:$H$61,2,FALSE)=0," ",VLOOKUP(D11,'ﾚｰﾃｨﾝｸﾞ計算書(TSF)'!$D$5:$H$61,2,FALSE))</f>
        <v>3903</v>
      </c>
      <c r="F11" s="60" t="str">
        <f>VLOOKUP(D11,'ﾚｰﾃｨﾝｸﾞ計算書(TSF)'!$D$5:$H$61,3,FALSE)</f>
        <v>Frendship32α</v>
      </c>
      <c r="G11" s="33">
        <f>VLOOKUP(D11,'レーティング計算書(OYCRating)'!$D$5:$M$41,4,FALSE)</f>
        <v>708</v>
      </c>
      <c r="H11" s="166">
        <f>VLOOKUP(D11,'レーティング計算書(OYCRating)'!$D$5:$M$41,5,FALSE)</f>
        <v>0.06</v>
      </c>
      <c r="I11" s="66">
        <f>VLOOKUP(D11,'レーティング計算書(OYCRating)'!$D$5:$M$41,6,FALSE)</f>
        <v>0</v>
      </c>
      <c r="J11" s="248">
        <f>VLOOKUP(D11,'レーティング計算書(OYCRating)'!$D$5:$M$41,7,FALSE)</f>
        <v>0</v>
      </c>
      <c r="K11" s="252">
        <f>G11+H11*G11+I11*G11+J11*G11</f>
        <v>750.48</v>
      </c>
      <c r="L11" s="242">
        <f>600/K11</f>
        <v>0.79948832747041887</v>
      </c>
      <c r="M11" s="68">
        <f>VLOOKUP(D11,'レーティング計算書(OYCRating)'!$D$5:$M$41,10,FALSE)</f>
        <v>0</v>
      </c>
      <c r="N11" s="165">
        <f>VLOOKUP(D11,レース着順とタイム!$C$7:$D$43,2,FALSE)</f>
        <v>0.49253472222222222</v>
      </c>
      <c r="O11" s="21">
        <f>(N11-$N$3)*86400</f>
        <v>4755</v>
      </c>
      <c r="P11" s="22">
        <f>IF(O11&gt;0,O11,99999999)</f>
        <v>4755</v>
      </c>
      <c r="Q11" s="229">
        <f>P11*L11/(1-M11)</f>
        <v>3801.5669971218417</v>
      </c>
      <c r="R11" s="157">
        <f t="shared" si="0"/>
        <v>30.304110523899908</v>
      </c>
      <c r="S11" s="158">
        <f t="shared" si="1"/>
        <v>508.74452690130283</v>
      </c>
    </row>
    <row r="12" spans="2:19">
      <c r="B12" s="219">
        <v>8</v>
      </c>
      <c r="C12" s="194">
        <v>6</v>
      </c>
      <c r="D12" s="235" t="s">
        <v>181</v>
      </c>
      <c r="E12" s="60" t="str">
        <f>IF(VLOOKUP(D12,'ﾚｰﾃｨﾝｸﾞ計算書(TSF)'!$D$5:$H$61,2,FALSE)=0," ",VLOOKUP(D12,'ﾚｰﾃｨﾝｸﾞ計算書(TSF)'!$D$5:$H$61,2,FALSE))</f>
        <v>2321</v>
      </c>
      <c r="F12" s="60" t="str">
        <f>VLOOKUP(D12,'ﾚｰﾃｨﾝｸﾞ計算書(TSF)'!$D$5:$H$61,3,FALSE)</f>
        <v>yamaha-31s</v>
      </c>
      <c r="G12" s="33">
        <f>VLOOKUP(D12,'レーティング計算書(OYCRating)'!$D$5:$M$41,4,FALSE)</f>
        <v>677</v>
      </c>
      <c r="H12" s="166">
        <f>VLOOKUP(D12,'レーティング計算書(OYCRating)'!$D$5:$M$41,5,FALSE)</f>
        <v>0.05</v>
      </c>
      <c r="I12" s="66">
        <f>VLOOKUP(D12,'レーティング計算書(OYCRating)'!$D$5:$M$41,6,FALSE)</f>
        <v>0</v>
      </c>
      <c r="J12" s="248">
        <f>VLOOKUP(D12,'レーティング計算書(OYCRating)'!$D$5:$M$41,7,FALSE)</f>
        <v>-0.02</v>
      </c>
      <c r="K12" s="252">
        <f>G12+H12*G12+I12*G12+J12*G12</f>
        <v>697.31000000000006</v>
      </c>
      <c r="L12" s="242">
        <f>600/K12</f>
        <v>0.8604494414249042</v>
      </c>
      <c r="M12" s="68">
        <f>VLOOKUP(D12,'レーティング計算書(OYCRating)'!$D$5:$M$41,10,FALSE)</f>
        <v>0.03</v>
      </c>
      <c r="N12" s="165">
        <f>VLOOKUP(D12,レース着順とタイム!$C$7:$D$43,2,FALSE)</f>
        <v>0.48832175925925925</v>
      </c>
      <c r="O12" s="21">
        <f>(N12-$N$3)*86400</f>
        <v>4390.9999999999991</v>
      </c>
      <c r="P12" s="22">
        <f>IF(O12&gt;0,O12,99999999)</f>
        <v>4390.9999999999991</v>
      </c>
      <c r="Q12" s="229">
        <f>P12*L12/(1-M12)</f>
        <v>3895.0860796873749</v>
      </c>
      <c r="R12" s="157">
        <f t="shared" si="0"/>
        <v>93.519082565533154</v>
      </c>
      <c r="S12" s="158">
        <f t="shared" si="1"/>
        <v>602.26360946683599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8" t="e">
        <f>VLOOKUP(D13,'レーティング計算書(OYCRating)'!$D$5:$M$41,7,FALSE)</f>
        <v>#N/A</v>
      </c>
      <c r="K13" s="252" t="e">
        <f t="shared" ref="K6:K41" si="2">G13+H13*G13+I13*G13+J13*G13</f>
        <v>#N/A</v>
      </c>
      <c r="L13" s="242" t="e">
        <f t="shared" ref="L6:L41" si="3">600/K13</f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ref="O5:O16" si="4">(N13-$N$3)*86400</f>
        <v>#N/A</v>
      </c>
      <c r="P13" s="22" t="e">
        <f>IF(O13&gt;0,O13,99999999)</f>
        <v>#N/A</v>
      </c>
      <c r="Q13" s="229" t="e">
        <f>P13*L13/(1-M13)</f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8" t="e">
        <f>VLOOKUP(D14,'レーティング計算書(OYCRating)'!$D$5:$M$41,7,FALSE)</f>
        <v>#N/A</v>
      </c>
      <c r="K14" s="252" t="e">
        <f t="shared" si="2"/>
        <v>#N/A</v>
      </c>
      <c r="L14" s="242" t="e">
        <f t="shared" si="3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9" t="e">
        <f>P14*L14/(1-M14)</f>
        <v>#N/A</v>
      </c>
      <c r="R14" s="157" t="e">
        <f t="shared" si="0"/>
        <v>#N/A</v>
      </c>
      <c r="S14" s="158" t="e">
        <f t="shared" si="1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8" t="e">
        <f>VLOOKUP(D15,'レーティング計算書(OYCRating)'!$D$5:$M$41,7,FALSE)</f>
        <v>#N/A</v>
      </c>
      <c r="K15" s="252" t="e">
        <f t="shared" si="2"/>
        <v>#N/A</v>
      </c>
      <c r="L15" s="242" t="e">
        <f t="shared" si="3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9" t="e">
        <f>P15*L15/(1-M15)</f>
        <v>#N/A</v>
      </c>
      <c r="R15" s="157" t="e">
        <f t="shared" si="0"/>
        <v>#N/A</v>
      </c>
      <c r="S15" s="158" t="e">
        <f t="shared" si="1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8" t="e">
        <f>VLOOKUP(D16,'レーティング計算書(OYCRating)'!$D$5:$M$41,7,FALSE)</f>
        <v>#N/A</v>
      </c>
      <c r="K16" s="252" t="e">
        <f t="shared" si="2"/>
        <v>#N/A</v>
      </c>
      <c r="L16" s="242" t="e">
        <f t="shared" si="3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9" t="e">
        <f>P16*L16/(1-M16)</f>
        <v>#N/A</v>
      </c>
      <c r="R16" s="157" t="e">
        <f t="shared" si="0"/>
        <v>#N/A</v>
      </c>
      <c r="S16" s="158" t="e">
        <f t="shared" si="1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8" t="e">
        <f>VLOOKUP(D17,'レーティング計算書(OYCRating)'!$D$5:$M$41,7,FALSE)</f>
        <v>#N/A</v>
      </c>
      <c r="K17" s="252" t="e">
        <f t="shared" si="2"/>
        <v>#N/A</v>
      </c>
      <c r="L17" s="242" t="e">
        <f t="shared" si="3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9" t="e">
        <f t="shared" ref="Q17:Q41" si="7">P17*L17/(1-M17)</f>
        <v>#N/A</v>
      </c>
      <c r="R17" s="157" t="e">
        <f t="shared" ref="R17:R41" si="8">IF(Q17=0, "-",Q17-Q16)</f>
        <v>#N/A</v>
      </c>
      <c r="S17" s="158" t="e">
        <f t="shared" ref="S17:S41" si="9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8" t="e">
        <f>VLOOKUP(D18,'レーティング計算書(OYCRating)'!$D$5:$M$41,7,FALSE)</f>
        <v>#N/A</v>
      </c>
      <c r="K18" s="252" t="e">
        <f t="shared" si="2"/>
        <v>#N/A</v>
      </c>
      <c r="L18" s="242" t="e">
        <f t="shared" si="3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9" t="e">
        <f t="shared" si="7"/>
        <v>#N/A</v>
      </c>
      <c r="R18" s="157" t="e">
        <f t="shared" si="8"/>
        <v>#N/A</v>
      </c>
      <c r="S18" s="158" t="e">
        <f t="shared" si="9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8" t="e">
        <f>VLOOKUP(D19,'レーティング計算書(OYCRating)'!$D$5:$M$41,7,FALSE)</f>
        <v>#N/A</v>
      </c>
      <c r="K19" s="252" t="e">
        <f t="shared" si="2"/>
        <v>#N/A</v>
      </c>
      <c r="L19" s="242" t="e">
        <f t="shared" si="3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9" t="e">
        <f t="shared" si="7"/>
        <v>#N/A</v>
      </c>
      <c r="R19" s="157" t="e">
        <f t="shared" si="8"/>
        <v>#N/A</v>
      </c>
      <c r="S19" s="158" t="e">
        <f t="shared" si="9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8" t="e">
        <f>VLOOKUP(D20,'レーティング計算書(OYCRating)'!$D$5:$M$41,7,FALSE)</f>
        <v>#N/A</v>
      </c>
      <c r="K20" s="252" t="e">
        <f t="shared" si="2"/>
        <v>#N/A</v>
      </c>
      <c r="L20" s="242" t="e">
        <f t="shared" si="3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9" t="e">
        <f t="shared" si="7"/>
        <v>#N/A</v>
      </c>
      <c r="R20" s="157" t="e">
        <f t="shared" si="8"/>
        <v>#N/A</v>
      </c>
      <c r="S20" s="158" t="e">
        <f t="shared" si="9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8" t="e">
        <f>VLOOKUP(D21,'レーティング計算書(OYCRating)'!$D$5:$M$41,7,FALSE)</f>
        <v>#N/A</v>
      </c>
      <c r="K21" s="252" t="e">
        <f t="shared" si="2"/>
        <v>#N/A</v>
      </c>
      <c r="L21" s="242" t="e">
        <f t="shared" si="3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9" t="e">
        <f t="shared" si="7"/>
        <v>#N/A</v>
      </c>
      <c r="R21" s="157" t="e">
        <f t="shared" si="8"/>
        <v>#N/A</v>
      </c>
      <c r="S21" s="158" t="e">
        <f t="shared" si="9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8" t="e">
        <f>VLOOKUP(D22,'レーティング計算書(OYCRating)'!$D$5:$M$41,7,FALSE)</f>
        <v>#N/A</v>
      </c>
      <c r="K22" s="252" t="e">
        <f t="shared" si="2"/>
        <v>#N/A</v>
      </c>
      <c r="L22" s="242" t="e">
        <f t="shared" si="3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9" t="e">
        <f t="shared" si="7"/>
        <v>#N/A</v>
      </c>
      <c r="R22" s="157" t="e">
        <f t="shared" si="8"/>
        <v>#N/A</v>
      </c>
      <c r="S22" s="158" t="e">
        <f t="shared" si="9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8" t="e">
        <f>VLOOKUP(D23,'レーティング計算書(OYCRating)'!$D$5:$M$41,7,FALSE)</f>
        <v>#N/A</v>
      </c>
      <c r="K23" s="252" t="e">
        <f t="shared" si="2"/>
        <v>#N/A</v>
      </c>
      <c r="L23" s="242" t="e">
        <f t="shared" si="3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9" t="e">
        <f t="shared" si="7"/>
        <v>#N/A</v>
      </c>
      <c r="R23" s="157" t="e">
        <f t="shared" si="8"/>
        <v>#N/A</v>
      </c>
      <c r="S23" s="158" t="e">
        <f t="shared" si="9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8" t="e">
        <f>VLOOKUP(D24,'レーティング計算書(OYCRating)'!$D$5:$M$41,7,FALSE)</f>
        <v>#N/A</v>
      </c>
      <c r="K24" s="252" t="e">
        <f t="shared" si="2"/>
        <v>#N/A</v>
      </c>
      <c r="L24" s="242" t="e">
        <f t="shared" si="3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9" t="e">
        <f t="shared" si="7"/>
        <v>#N/A</v>
      </c>
      <c r="R24" s="157" t="e">
        <f t="shared" si="8"/>
        <v>#N/A</v>
      </c>
      <c r="S24" s="158" t="e">
        <f t="shared" si="9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8" t="e">
        <f>VLOOKUP(D25,'レーティング計算書(OYCRating)'!$D$5:$M$41,7,FALSE)</f>
        <v>#N/A</v>
      </c>
      <c r="K25" s="252" t="e">
        <f t="shared" si="2"/>
        <v>#N/A</v>
      </c>
      <c r="L25" s="242" t="e">
        <f t="shared" si="3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9" t="e">
        <f t="shared" si="7"/>
        <v>#N/A</v>
      </c>
      <c r="R25" s="157" t="e">
        <f t="shared" si="8"/>
        <v>#N/A</v>
      </c>
      <c r="S25" s="158" t="e">
        <f t="shared" si="9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8" t="e">
        <f>VLOOKUP(D26,'レーティング計算書(OYCRating)'!$D$5:$M$41,7,FALSE)</f>
        <v>#N/A</v>
      </c>
      <c r="K26" s="252" t="e">
        <f t="shared" si="2"/>
        <v>#N/A</v>
      </c>
      <c r="L26" s="242" t="e">
        <f t="shared" si="3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9" t="e">
        <f t="shared" si="7"/>
        <v>#N/A</v>
      </c>
      <c r="R26" s="157" t="e">
        <f t="shared" si="8"/>
        <v>#N/A</v>
      </c>
      <c r="S26" s="158" t="e">
        <f t="shared" si="9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8" t="e">
        <f>VLOOKUP(D27,'レーティング計算書(OYCRating)'!$D$5:$M$41,7,FALSE)</f>
        <v>#N/A</v>
      </c>
      <c r="K27" s="252" t="e">
        <f t="shared" si="2"/>
        <v>#N/A</v>
      </c>
      <c r="L27" s="242" t="e">
        <f t="shared" si="3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9" t="e">
        <f t="shared" si="7"/>
        <v>#N/A</v>
      </c>
      <c r="R27" s="157" t="e">
        <f t="shared" si="8"/>
        <v>#N/A</v>
      </c>
      <c r="S27" s="158" t="e">
        <f t="shared" si="9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8" t="e">
        <f>VLOOKUP(D28,'レーティング計算書(OYCRating)'!$D$5:$M$41,7,FALSE)</f>
        <v>#N/A</v>
      </c>
      <c r="K28" s="252" t="e">
        <f t="shared" si="2"/>
        <v>#N/A</v>
      </c>
      <c r="L28" s="242" t="e">
        <f t="shared" si="3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9" t="e">
        <f t="shared" si="7"/>
        <v>#N/A</v>
      </c>
      <c r="R28" s="157" t="e">
        <f t="shared" si="8"/>
        <v>#N/A</v>
      </c>
      <c r="S28" s="158" t="e">
        <f t="shared" si="9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8" t="e">
        <f>VLOOKUP(D29,'レーティング計算書(OYCRating)'!$D$5:$M$41,7,FALSE)</f>
        <v>#N/A</v>
      </c>
      <c r="K29" s="252" t="e">
        <f t="shared" si="2"/>
        <v>#N/A</v>
      </c>
      <c r="L29" s="242" t="e">
        <f t="shared" si="3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9" t="e">
        <f t="shared" si="7"/>
        <v>#N/A</v>
      </c>
      <c r="R29" s="157" t="e">
        <f t="shared" si="8"/>
        <v>#N/A</v>
      </c>
      <c r="S29" s="158" t="e">
        <f t="shared" si="9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8" t="e">
        <f>VLOOKUP(D30,'レーティング計算書(OYCRating)'!$D$5:$M$41,7,FALSE)</f>
        <v>#N/A</v>
      </c>
      <c r="K30" s="252" t="e">
        <f t="shared" si="2"/>
        <v>#N/A</v>
      </c>
      <c r="L30" s="242" t="e">
        <f t="shared" si="3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9" t="e">
        <f t="shared" si="7"/>
        <v>#N/A</v>
      </c>
      <c r="R30" s="157" t="e">
        <f t="shared" si="8"/>
        <v>#N/A</v>
      </c>
      <c r="S30" s="158" t="e">
        <f t="shared" si="9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8" t="e">
        <f>VLOOKUP(D31,'レーティング計算書(OYCRating)'!$D$5:$M$41,7,FALSE)</f>
        <v>#N/A</v>
      </c>
      <c r="K31" s="252" t="e">
        <f t="shared" si="2"/>
        <v>#N/A</v>
      </c>
      <c r="L31" s="242" t="e">
        <f t="shared" si="3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9" t="e">
        <f t="shared" si="7"/>
        <v>#N/A</v>
      </c>
      <c r="R31" s="157" t="e">
        <f t="shared" si="8"/>
        <v>#N/A</v>
      </c>
      <c r="S31" s="158" t="e">
        <f t="shared" si="9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8" t="e">
        <f>VLOOKUP(D32,'レーティング計算書(OYCRating)'!$D$5:$M$41,7,FALSE)</f>
        <v>#N/A</v>
      </c>
      <c r="K32" s="252" t="e">
        <f t="shared" si="2"/>
        <v>#N/A</v>
      </c>
      <c r="L32" s="242" t="e">
        <f t="shared" si="3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9" t="e">
        <f t="shared" si="7"/>
        <v>#N/A</v>
      </c>
      <c r="R32" s="157" t="e">
        <f t="shared" si="8"/>
        <v>#N/A</v>
      </c>
      <c r="S32" s="158" t="e">
        <f t="shared" si="9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8" t="e">
        <f>VLOOKUP(D33,'レーティング計算書(OYCRating)'!$D$5:$M$41,7,FALSE)</f>
        <v>#N/A</v>
      </c>
      <c r="K33" s="252" t="e">
        <f t="shared" si="2"/>
        <v>#N/A</v>
      </c>
      <c r="L33" s="242" t="e">
        <f t="shared" si="3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9" t="e">
        <f t="shared" si="7"/>
        <v>#N/A</v>
      </c>
      <c r="R33" s="157" t="e">
        <f t="shared" si="8"/>
        <v>#N/A</v>
      </c>
      <c r="S33" s="158" t="e">
        <f t="shared" si="9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8" t="e">
        <f>VLOOKUP(D34,'レーティング計算書(OYCRating)'!$D$5:$M$41,7,FALSE)</f>
        <v>#N/A</v>
      </c>
      <c r="K34" s="252" t="e">
        <f t="shared" si="2"/>
        <v>#N/A</v>
      </c>
      <c r="L34" s="242" t="e">
        <f t="shared" si="3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9" t="e">
        <f t="shared" si="7"/>
        <v>#N/A</v>
      </c>
      <c r="R34" s="157" t="e">
        <f t="shared" si="8"/>
        <v>#N/A</v>
      </c>
      <c r="S34" s="158" t="e">
        <f t="shared" si="9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8" t="e">
        <f>VLOOKUP(D35,'レーティング計算書(OYCRating)'!$D$5:$M$41,7,FALSE)</f>
        <v>#N/A</v>
      </c>
      <c r="K35" s="252" t="e">
        <f t="shared" si="2"/>
        <v>#N/A</v>
      </c>
      <c r="L35" s="242" t="e">
        <f t="shared" si="3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9" t="e">
        <f t="shared" si="7"/>
        <v>#N/A</v>
      </c>
      <c r="R35" s="157" t="e">
        <f t="shared" si="8"/>
        <v>#N/A</v>
      </c>
      <c r="S35" s="158" t="e">
        <f t="shared" si="9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8" t="e">
        <f>VLOOKUP(D36,'レーティング計算書(OYCRating)'!$D$5:$M$41,7,FALSE)</f>
        <v>#N/A</v>
      </c>
      <c r="K36" s="252" t="e">
        <f t="shared" si="2"/>
        <v>#N/A</v>
      </c>
      <c r="L36" s="242" t="e">
        <f t="shared" si="3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9" t="e">
        <f t="shared" si="7"/>
        <v>#N/A</v>
      </c>
      <c r="R36" s="157" t="e">
        <f t="shared" si="8"/>
        <v>#N/A</v>
      </c>
      <c r="S36" s="158" t="e">
        <f t="shared" si="9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8" t="e">
        <f>VLOOKUP(D37,'レーティング計算書(OYCRating)'!$D$5:$M$41,7,FALSE)</f>
        <v>#N/A</v>
      </c>
      <c r="K37" s="252" t="e">
        <f t="shared" si="2"/>
        <v>#N/A</v>
      </c>
      <c r="L37" s="242" t="e">
        <f t="shared" si="3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9" t="e">
        <f t="shared" si="7"/>
        <v>#N/A</v>
      </c>
      <c r="R37" s="157" t="e">
        <f t="shared" si="8"/>
        <v>#N/A</v>
      </c>
      <c r="S37" s="158" t="e">
        <f t="shared" si="9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8" t="e">
        <f>VLOOKUP(D38,'レーティング計算書(OYCRating)'!$D$5:$M$41,7,FALSE)</f>
        <v>#N/A</v>
      </c>
      <c r="K38" s="252" t="e">
        <f t="shared" si="2"/>
        <v>#N/A</v>
      </c>
      <c r="L38" s="242" t="e">
        <f t="shared" si="3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9" t="e">
        <f t="shared" si="7"/>
        <v>#N/A</v>
      </c>
      <c r="R38" s="157" t="e">
        <f t="shared" si="8"/>
        <v>#N/A</v>
      </c>
      <c r="S38" s="158" t="e">
        <f t="shared" si="9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8" t="e">
        <f>VLOOKUP(D39,'レーティング計算書(OYCRating)'!$D$5:$M$41,7,FALSE)</f>
        <v>#N/A</v>
      </c>
      <c r="K39" s="252" t="e">
        <f t="shared" si="2"/>
        <v>#N/A</v>
      </c>
      <c r="L39" s="242" t="e">
        <f t="shared" si="3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9" t="e">
        <f t="shared" si="7"/>
        <v>#N/A</v>
      </c>
      <c r="R39" s="157" t="e">
        <f t="shared" si="8"/>
        <v>#N/A</v>
      </c>
      <c r="S39" s="158" t="e">
        <f t="shared" si="9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8" t="e">
        <f>VLOOKUP(D40,'レーティング計算書(OYCRating)'!$D$5:$M$41,7,FALSE)</f>
        <v>#N/A</v>
      </c>
      <c r="K40" s="252" t="e">
        <f t="shared" si="2"/>
        <v>#N/A</v>
      </c>
      <c r="L40" s="242" t="e">
        <f t="shared" si="3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9" t="e">
        <f t="shared" si="7"/>
        <v>#N/A</v>
      </c>
      <c r="R40" s="157" t="e">
        <f t="shared" si="8"/>
        <v>#N/A</v>
      </c>
      <c r="S40" s="158" t="e">
        <f t="shared" si="9"/>
        <v>#N/A</v>
      </c>
    </row>
    <row r="41" spans="2:19" ht="14.25" hidden="1" thickBot="1">
      <c r="B41" s="219">
        <v>37</v>
      </c>
      <c r="C41" s="205">
        <v>37</v>
      </c>
      <c r="D41" s="292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9" t="e">
        <f>VLOOKUP(D41,'レーティング計算書(OYCRating)'!$D$5:$M$41,7,FALSE)</f>
        <v>#N/A</v>
      </c>
      <c r="K41" s="290" t="e">
        <f t="shared" si="2"/>
        <v>#N/A</v>
      </c>
      <c r="L41" s="291" t="e">
        <f t="shared" si="3"/>
        <v>#N/A</v>
      </c>
      <c r="M41" s="288" t="e">
        <f>VLOOKUP(D41,'レーティング計算書(OYCRating)'!$D$5:$M$41,10,FALSE)</f>
        <v>#N/A</v>
      </c>
      <c r="N41" s="222" t="e">
        <f>VLOOKUP(D41,レース着順とタイム!$C$7:$D$43,2,FALSE)</f>
        <v>#N/A</v>
      </c>
      <c r="O41" s="171" t="e">
        <f t="shared" si="5"/>
        <v>#N/A</v>
      </c>
      <c r="P41" s="39" t="e">
        <f t="shared" si="6"/>
        <v>#N/A</v>
      </c>
      <c r="Q41" s="230" t="e">
        <f t="shared" si="7"/>
        <v>#N/A</v>
      </c>
      <c r="R41" s="223" t="e">
        <f t="shared" si="8"/>
        <v>#N/A</v>
      </c>
      <c r="S41" s="224" t="e">
        <f t="shared" si="9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2">
    <sortCondition ref="Q5:Q12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topLeftCell="A4" zoomScaleNormal="100" zoomScaleSheetLayoutView="100" workbookViewId="0">
      <selection activeCell="D15" sqref="D1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2" t="s">
        <v>284</v>
      </c>
      <c r="C2" s="322"/>
      <c r="D2" s="322"/>
      <c r="E2" s="322"/>
      <c r="F2" s="322"/>
      <c r="G2" s="322"/>
      <c r="H2" s="322"/>
      <c r="I2" s="322"/>
    </row>
    <row r="3" spans="2:16" ht="22.7" customHeight="1" thickBot="1">
      <c r="B3" s="326" t="s">
        <v>0</v>
      </c>
      <c r="C3" s="326"/>
      <c r="D3" s="326"/>
      <c r="E3" s="2"/>
      <c r="F3" s="3" t="s">
        <v>236</v>
      </c>
      <c r="G3" s="3"/>
      <c r="H3" s="85" t="str">
        <f>レース着順とタイム!D3</f>
        <v>2022.10.23</v>
      </c>
      <c r="I3" s="4">
        <f>レース着順とタイム!D4</f>
        <v>0.4375</v>
      </c>
      <c r="J3" s="4"/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5" t="s">
        <v>8</v>
      </c>
      <c r="M4" s="179" t="s">
        <v>202</v>
      </c>
      <c r="N4" s="189" t="s">
        <v>203</v>
      </c>
    </row>
    <row r="5" spans="2:16">
      <c r="B5" s="266">
        <v>1</v>
      </c>
      <c r="C5" s="266">
        <v>1</v>
      </c>
      <c r="D5" s="233" t="s">
        <v>290</v>
      </c>
      <c r="E5" s="262" t="str">
        <f>IF(VLOOKUP(D5,'ﾚｰﾃｨﾝｸﾞ計算書(TSF)'!$D$5:$H$61,2,FALSE)=0," ",VLOOKUP(D5,'ﾚｰﾃｨﾝｸﾞ計算書(TSF)'!$D$5:$H$61,2,FALSE))</f>
        <v>210</v>
      </c>
      <c r="F5" s="190" t="str">
        <f>VLOOKUP(D5,'ﾚｰﾃｨﾝｸﾞ計算書(TSF)'!$D$5:$H$61,3,FALSE)</f>
        <v>fre-31</v>
      </c>
      <c r="G5" s="191">
        <f>VLOOKUP(D5,'ﾚｰﾃｨﾝｸﾞ計算書(TSF)'!$D$5:$H$61,4,FALSE)</f>
        <v>663</v>
      </c>
      <c r="H5" s="192">
        <f>600/G5</f>
        <v>0.90497737556561086</v>
      </c>
      <c r="I5" s="263">
        <f>VLOOKUP(D5,レース着順とタイム!$C$7:$D$43,2,FALSE)</f>
        <v>0.47916666666666669</v>
      </c>
      <c r="J5" s="264">
        <f>(I5-$I$3)*86400</f>
        <v>3600.0000000000018</v>
      </c>
      <c r="K5" s="254">
        <f>IF(J5&gt;0,J5,99999999)</f>
        <v>3600.0000000000018</v>
      </c>
      <c r="L5" s="265">
        <f>K5*H5</f>
        <v>3257.9185520362007</v>
      </c>
      <c r="M5" s="195"/>
      <c r="N5" s="196"/>
    </row>
    <row r="6" spans="2:16">
      <c r="B6" s="267">
        <v>2</v>
      </c>
      <c r="C6" s="267">
        <v>2</v>
      </c>
      <c r="D6" s="235" t="s">
        <v>291</v>
      </c>
      <c r="E6" s="178" t="str">
        <f>IF(VLOOKUP(D6,'ﾚｰﾃｨﾝｸﾞ計算書(TSF)'!$D$5:$H$61,2,FALSE)=0," ",VLOOKUP(D6,'ﾚｰﾃｨﾝｸﾞ計算書(TSF)'!$D$5:$H$61,2,FALSE))</f>
        <v>4167</v>
      </c>
      <c r="F6" s="198" t="str">
        <f>VLOOKUP(D6,'ﾚｰﾃｨﾝｸﾞ計算書(TSF)'!$D$5:$H$61,3,FALSE)</f>
        <v>yokoyama-30sr P:B</v>
      </c>
      <c r="G6" s="199">
        <f>VLOOKUP(D6,'ﾚｰﾃｨﾝｸﾞ計算書(TSF)'!$D$5:$H$61,4,FALSE)</f>
        <v>677</v>
      </c>
      <c r="H6" s="200">
        <f>600/G6</f>
        <v>0.88626292466765144</v>
      </c>
      <c r="I6" s="210">
        <f>VLOOKUP(D6,レース着順とタイム!$C$7:$D$43,2,FALSE)</f>
        <v>0.48121527777777778</v>
      </c>
      <c r="J6" s="193">
        <f>(I6-$I$3)*86400</f>
        <v>3777.0000000000005</v>
      </c>
      <c r="K6" s="194">
        <f>IF(J6&gt;0,J6,99999999)</f>
        <v>3777.0000000000005</v>
      </c>
      <c r="L6" s="226">
        <f>K6*H6</f>
        <v>3347.4150664697199</v>
      </c>
      <c r="M6" s="201">
        <f t="shared" ref="M6:M21" si="0">IF(L6=0, "-",L6-L5)</f>
        <v>89.496514433519224</v>
      </c>
      <c r="N6" s="202">
        <f t="shared" ref="N6:N21" si="1">IF(L6=0, "-", L6-$L$5)</f>
        <v>89.496514433519224</v>
      </c>
    </row>
    <row r="7" spans="2:16">
      <c r="B7" s="267">
        <v>3</v>
      </c>
      <c r="C7" s="267">
        <v>7</v>
      </c>
      <c r="D7" s="235" t="s">
        <v>293</v>
      </c>
      <c r="E7" s="178" t="str">
        <f>IF(VLOOKUP(D7,'ﾚｰﾃｨﾝｸﾞ計算書(TSF)'!$D$5:$H$61,2,FALSE)=0," ",VLOOKUP(D7,'ﾚｰﾃｨﾝｸﾞ計算書(TSF)'!$D$5:$H$61,2,FALSE))</f>
        <v>2672</v>
      </c>
      <c r="F7" s="198" t="str">
        <f>VLOOKUP(D7,'ﾚｰﾃｨﾝｸﾞ計算書(TSF)'!$D$5:$H$61,3,FALSE)</f>
        <v>オカザキ32Ｃ</v>
      </c>
      <c r="G7" s="199">
        <f>VLOOKUP(D7,'ﾚｰﾃｨﾝｸﾞ計算書(TSF)'!$D$5:$H$61,4,FALSE)</f>
        <v>720</v>
      </c>
      <c r="H7" s="200">
        <f>600/G7</f>
        <v>0.83333333333333337</v>
      </c>
      <c r="I7" s="210">
        <f>VLOOKUP(D7,レース着順とタイム!$C$7:$D$43,2,FALSE)</f>
        <v>0.48431712962962964</v>
      </c>
      <c r="J7" s="193">
        <f>(I7-$I$3)*86400</f>
        <v>4045.0000000000009</v>
      </c>
      <c r="K7" s="194">
        <f>IF(J7&gt;0,J7,99999999)</f>
        <v>4045.0000000000009</v>
      </c>
      <c r="L7" s="226">
        <f>K7*H7</f>
        <v>3370.8333333333344</v>
      </c>
      <c r="M7" s="201">
        <f t="shared" si="0"/>
        <v>23.418266863614463</v>
      </c>
      <c r="N7" s="202">
        <f t="shared" si="1"/>
        <v>112.91478129713369</v>
      </c>
    </row>
    <row r="8" spans="2:16">
      <c r="B8" s="267">
        <v>4</v>
      </c>
      <c r="C8" s="267">
        <v>4</v>
      </c>
      <c r="D8" s="235" t="s">
        <v>11</v>
      </c>
      <c r="E8" s="178" t="str">
        <f>IF(VLOOKUP(D8,'ﾚｰﾃｨﾝｸﾞ計算書(TSF)'!$D$5:$H$61,2,FALSE)=0," ",VLOOKUP(D8,'ﾚｰﾃｨﾝｸﾞ計算書(TSF)'!$D$5:$H$61,2,FALSE))</f>
        <v>JST374</v>
      </c>
      <c r="F8" s="198" t="str">
        <f>VLOOKUP(D8,'ﾚｰﾃｨﾝｸﾞ計算書(TSF)'!$D$5:$H$61,3,FALSE)</f>
        <v>yamaha-31s LTD</v>
      </c>
      <c r="G8" s="199">
        <f>VLOOKUP(D8,'ﾚｰﾃｨﾝｸﾞ計算書(TSF)'!$D$5:$H$61,4,FALSE)</f>
        <v>677</v>
      </c>
      <c r="H8" s="200">
        <f>600/G8</f>
        <v>0.88626292466765144</v>
      </c>
      <c r="I8" s="210">
        <f>VLOOKUP(D8,レース着順とタイム!$C$7:$D$43,2,FALSE)</f>
        <v>0.48249999999999998</v>
      </c>
      <c r="J8" s="193">
        <f>(I8-$I$3)*86400</f>
        <v>3887.9999999999986</v>
      </c>
      <c r="K8" s="194">
        <f>IF(J8&gt;0,J8,99999999)</f>
        <v>3887.9999999999986</v>
      </c>
      <c r="L8" s="226">
        <f>K8*H8</f>
        <v>3445.7902511078278</v>
      </c>
      <c r="M8" s="201">
        <f t="shared" si="0"/>
        <v>74.956917774493377</v>
      </c>
      <c r="N8" s="202">
        <f t="shared" si="1"/>
        <v>187.87169907162706</v>
      </c>
    </row>
    <row r="9" spans="2:16">
      <c r="B9" s="267">
        <v>5</v>
      </c>
      <c r="C9" s="267">
        <v>3</v>
      </c>
      <c r="D9" s="235" t="s">
        <v>128</v>
      </c>
      <c r="E9" s="178" t="str">
        <f>IF(VLOOKUP(D9,'ﾚｰﾃｨﾝｸﾞ計算書(TSF)'!$D$5:$H$61,2,FALSE)=0," ",VLOOKUP(D9,'ﾚｰﾃｨﾝｸﾞ計算書(TSF)'!$D$5:$H$61,2,FALSE))</f>
        <v>ＪＰＮ5057</v>
      </c>
      <c r="F9" s="198" t="str">
        <f>VLOOKUP(D9,'ﾚｰﾃｨﾝｸﾞ計算書(TSF)'!$D$5:$H$61,3,FALSE)</f>
        <v>エリオット935</v>
      </c>
      <c r="G9" s="199">
        <f>VLOOKUP(D9,'ﾚｰﾃｨﾝｸﾞ計算書(TSF)'!$D$5:$H$61,4,FALSE)</f>
        <v>640</v>
      </c>
      <c r="H9" s="200">
        <f>600/G9</f>
        <v>0.9375</v>
      </c>
      <c r="I9" s="210">
        <f>VLOOKUP(D9,レース着順とタイム!$C$7:$D$43,2,FALSE)</f>
        <v>0.48223379629629631</v>
      </c>
      <c r="J9" s="193">
        <f>(I9-$I$3)*86400</f>
        <v>3865.0000000000014</v>
      </c>
      <c r="K9" s="194">
        <f>IF(J9&gt;0,J9,99999999)</f>
        <v>3865.0000000000014</v>
      </c>
      <c r="L9" s="226">
        <f>K9*H9</f>
        <v>3623.4375000000014</v>
      </c>
      <c r="M9" s="201">
        <f t="shared" si="0"/>
        <v>177.64724889217359</v>
      </c>
      <c r="N9" s="202">
        <f t="shared" si="1"/>
        <v>365.51894796380066</v>
      </c>
    </row>
    <row r="10" spans="2:16">
      <c r="B10" s="267">
        <v>6</v>
      </c>
      <c r="C10" s="267">
        <v>5</v>
      </c>
      <c r="D10" s="235" t="s">
        <v>292</v>
      </c>
      <c r="E10" s="178" t="str">
        <f>IF(VLOOKUP(D10,'ﾚｰﾃｨﾝｸﾞ計算書(TSF)'!$D$5:$H$61,2,FALSE)=0," ",VLOOKUP(D10,'ﾚｰﾃｨﾝｸﾞ計算書(TSF)'!$D$5:$H$61,2,FALSE))</f>
        <v>6363</v>
      </c>
      <c r="F10" s="198" t="str">
        <f>VLOOKUP(D10,'ﾚｰﾃｨﾝｸﾞ計算書(TSF)'!$D$5:$H$61,3,FALSE)</f>
        <v>Dehler36SQ</v>
      </c>
      <c r="G10" s="199">
        <f>VLOOKUP(D10,'ﾚｰﾃｨﾝｸﾞ計算書(TSF)'!$D$5:$H$61,4,FALSE)</f>
        <v>640</v>
      </c>
      <c r="H10" s="200">
        <f>600/G10</f>
        <v>0.9375</v>
      </c>
      <c r="I10" s="210">
        <f>VLOOKUP(D10,レース着順とタイム!$C$7:$D$43,2,FALSE)</f>
        <v>0.48266203703703708</v>
      </c>
      <c r="J10" s="193">
        <f>(I10-$I$3)*86400</f>
        <v>3902.0000000000041</v>
      </c>
      <c r="K10" s="194">
        <f>IF(J10&gt;0,J10,99999999)</f>
        <v>3902.0000000000041</v>
      </c>
      <c r="L10" s="226">
        <f>K10*H10</f>
        <v>3658.1250000000036</v>
      </c>
      <c r="M10" s="201">
        <f t="shared" si="0"/>
        <v>34.687500000002274</v>
      </c>
      <c r="N10" s="202">
        <f t="shared" si="1"/>
        <v>400.20644796380293</v>
      </c>
    </row>
    <row r="11" spans="2:16">
      <c r="B11" s="267">
        <v>7</v>
      </c>
      <c r="C11" s="267">
        <v>6</v>
      </c>
      <c r="D11" s="235" t="s">
        <v>261</v>
      </c>
      <c r="E11" s="178" t="str">
        <f>IF(VLOOKUP(D11,'ﾚｰﾃｨﾝｸﾞ計算書(TSF)'!$D$5:$H$61,2,FALSE)=0," ",VLOOKUP(D11,'ﾚｰﾃｨﾝｸﾞ計算書(TSF)'!$D$5:$H$61,2,FALSE))</f>
        <v xml:space="preserve"> </v>
      </c>
      <c r="F11" s="198" t="str">
        <f>VLOOKUP(D11,'ﾚｰﾃｨﾝｸﾞ計算書(TSF)'!$D$5:$H$61,3,FALSE)</f>
        <v>ｽｲﾝｸﾞ34</v>
      </c>
      <c r="G11" s="199">
        <f>VLOOKUP(D11,'ﾚｰﾃｨﾝｸﾞ計算書(TSF)'!$D$5:$H$61,4,FALSE)</f>
        <v>658</v>
      </c>
      <c r="H11" s="200">
        <f>600/G11</f>
        <v>0.91185410334346506</v>
      </c>
      <c r="I11" s="210">
        <f>VLOOKUP(D11,レース着順とタイム!$C$7:$D$43,2,FALSE)</f>
        <v>0.48423611111111109</v>
      </c>
      <c r="J11" s="193">
        <f>(I11-$I$3)*86400</f>
        <v>4037.9999999999982</v>
      </c>
      <c r="K11" s="194">
        <f>IF(J11&gt;0,J11,99999999)</f>
        <v>4037.9999999999982</v>
      </c>
      <c r="L11" s="226">
        <f>K11*H11</f>
        <v>3682.0668693009102</v>
      </c>
      <c r="M11" s="201">
        <f t="shared" si="0"/>
        <v>23.941869300906546</v>
      </c>
      <c r="N11" s="202">
        <f t="shared" si="1"/>
        <v>424.14831726470948</v>
      </c>
    </row>
    <row r="12" spans="2:16">
      <c r="B12" s="267">
        <v>8</v>
      </c>
      <c r="C12" s="267">
        <v>9</v>
      </c>
      <c r="D12" s="235" t="s">
        <v>229</v>
      </c>
      <c r="E12" s="178" t="str">
        <f>IF(VLOOKUP(D12,'ﾚｰﾃｨﾝｸﾞ計算書(TSF)'!$D$5:$H$61,2,FALSE)=0," ",VLOOKUP(D12,'ﾚｰﾃｨﾝｸﾞ計算書(TSF)'!$D$5:$H$61,2,FALSE))</f>
        <v xml:space="preserve"> </v>
      </c>
      <c r="F12" s="198" t="str">
        <f>VLOOKUP(D12,'ﾚｰﾃｨﾝｸﾞ計算書(TSF)'!$D$5:$H$61,3,FALSE)</f>
        <v>ヤマハ30ＳⅡ</v>
      </c>
      <c r="G12" s="199">
        <f>VLOOKUP(D12,'ﾚｰﾃｨﾝｸﾞ計算書(TSF)'!$D$5:$H$61,4,FALSE)</f>
        <v>710</v>
      </c>
      <c r="H12" s="200">
        <f>600/G12</f>
        <v>0.84507042253521125</v>
      </c>
      <c r="I12" s="210">
        <f>VLOOKUP(D12,レース着順とタイム!$C$7:$D$43,2,FALSE)</f>
        <v>0.49079861111111112</v>
      </c>
      <c r="J12" s="193">
        <f>(I12-$I$3)*86400</f>
        <v>4605</v>
      </c>
      <c r="K12" s="194">
        <f>IF(J12&gt;0,J12,99999999)</f>
        <v>4605</v>
      </c>
      <c r="L12" s="226">
        <f>K12*H12</f>
        <v>3891.5492957746478</v>
      </c>
      <c r="M12" s="201">
        <f t="shared" si="0"/>
        <v>209.48242647373763</v>
      </c>
      <c r="N12" s="202">
        <f t="shared" si="1"/>
        <v>633.63074373844711</v>
      </c>
      <c r="O12" s="159"/>
      <c r="P12" s="34"/>
    </row>
    <row r="13" spans="2:16">
      <c r="B13" s="267">
        <v>9</v>
      </c>
      <c r="C13" s="267">
        <v>8</v>
      </c>
      <c r="D13" s="235" t="s">
        <v>181</v>
      </c>
      <c r="E13" s="178" t="str">
        <f>IF(VLOOKUP(D13,'ﾚｰﾃｨﾝｸﾞ計算書(TSF)'!$D$5:$H$61,2,FALSE)=0," ",VLOOKUP(D13,'ﾚｰﾃｨﾝｸﾞ計算書(TSF)'!$D$5:$H$61,2,FALSE))</f>
        <v>2321</v>
      </c>
      <c r="F13" s="198" t="str">
        <f>VLOOKUP(D13,'ﾚｰﾃｨﾝｸﾞ計算書(TSF)'!$D$5:$H$61,3,FALSE)</f>
        <v>yamaha-31s</v>
      </c>
      <c r="G13" s="199">
        <f>VLOOKUP(D13,'ﾚｰﾃｨﾝｸﾞ計算書(TSF)'!$D$5:$H$61,4,FALSE)</f>
        <v>677</v>
      </c>
      <c r="H13" s="200">
        <f>600/G13</f>
        <v>0.88626292466765144</v>
      </c>
      <c r="I13" s="210">
        <f>VLOOKUP(D13,レース着順とタイム!$C$7:$D$43,2,FALSE)</f>
        <v>0.48832175925925925</v>
      </c>
      <c r="J13" s="193">
        <f>(I13-$I$3)*86400</f>
        <v>4390.9999999999991</v>
      </c>
      <c r="K13" s="203">
        <f>IF(J13&gt;0,J13,99999999)</f>
        <v>4390.9999999999991</v>
      </c>
      <c r="L13" s="227">
        <f>K13*H13</f>
        <v>3891.5805022156565</v>
      </c>
      <c r="M13" s="201">
        <f t="shared" si="0"/>
        <v>3.1206441008635011E-2</v>
      </c>
      <c r="N13" s="202">
        <f t="shared" si="1"/>
        <v>633.66195017945574</v>
      </c>
    </row>
    <row r="14" spans="2:16" ht="14.25" customHeight="1">
      <c r="B14" s="267">
        <v>10</v>
      </c>
      <c r="C14" s="267">
        <v>10</v>
      </c>
      <c r="D14" s="235" t="s">
        <v>183</v>
      </c>
      <c r="E14" s="178" t="str">
        <f>IF(VLOOKUP(D14,'ﾚｰﾃｨﾝｸﾞ計算書(TSF)'!$D$5:$H$61,2,FALSE)=0," ",VLOOKUP(D14,'ﾚｰﾃｨﾝｸﾞ計算書(TSF)'!$D$5:$H$61,2,FALSE))</f>
        <v>3903</v>
      </c>
      <c r="F14" s="198" t="str">
        <f>VLOOKUP(D14,'ﾚｰﾃｨﾝｸﾞ計算書(TSF)'!$D$5:$H$61,3,FALSE)</f>
        <v>Frendship32α</v>
      </c>
      <c r="G14" s="199">
        <f>VLOOKUP(D14,'ﾚｰﾃｨﾝｸﾞ計算書(TSF)'!$D$5:$H$61,4,FALSE)</f>
        <v>708</v>
      </c>
      <c r="H14" s="200">
        <f>600/G14</f>
        <v>0.84745762711864403</v>
      </c>
      <c r="I14" s="210">
        <f>VLOOKUP(D14,レース着順とタイム!$C$7:$D$43,2,FALSE)</f>
        <v>0.49253472222222222</v>
      </c>
      <c r="J14" s="193">
        <f>(I14-$I$3)*86400</f>
        <v>4755</v>
      </c>
      <c r="K14" s="194">
        <f>IF(J14&gt;0,J14,99999999)</f>
        <v>4755</v>
      </c>
      <c r="L14" s="226">
        <f>K14*H14</f>
        <v>4029.6610169491523</v>
      </c>
      <c r="M14" s="201">
        <f t="shared" si="0"/>
        <v>138.08051473349587</v>
      </c>
      <c r="N14" s="202">
        <f t="shared" si="1"/>
        <v>771.74246491295162</v>
      </c>
    </row>
    <row r="15" spans="2:16">
      <c r="B15" s="267">
        <v>11</v>
      </c>
      <c r="C15" s="267">
        <v>11</v>
      </c>
      <c r="D15" s="235" t="s">
        <v>289</v>
      </c>
      <c r="E15" s="178" t="str">
        <f>IF(VLOOKUP(D15,'ﾚｰﾃｨﾝｸﾞ計算書(TSF)'!$D$5:$H$61,2,FALSE)=0," ",VLOOKUP(D15,'ﾚｰﾃｨﾝｸﾞ計算書(TSF)'!$D$5:$H$61,2,FALSE))</f>
        <v>3568</v>
      </c>
      <c r="F15" s="198" t="str">
        <f>VLOOKUP(D15,'ﾚｰﾃｨﾝｸﾞ計算書(TSF)'!$D$5:$H$61,3,FALSE)</f>
        <v>yamaha-30cII sh</v>
      </c>
      <c r="G15" s="199">
        <f>VLOOKUP(D15,'ﾚｰﾃｨﾝｸﾞ計算書(TSF)'!$D$5:$H$61,4,FALSE)</f>
        <v>725</v>
      </c>
      <c r="H15" s="200">
        <f>600/G15</f>
        <v>0.82758620689655171</v>
      </c>
      <c r="I15" s="210">
        <f>VLOOKUP(D15,レース着順とタイム!$C$7:$D$43,2,FALSE)</f>
        <v>0.4939236111111111</v>
      </c>
      <c r="J15" s="193">
        <f>(I15-$I$3)*86400</f>
        <v>4874.9999999999991</v>
      </c>
      <c r="K15" s="194">
        <f>IF(J15&gt;0,J15,99999999)</f>
        <v>4874.9999999999991</v>
      </c>
      <c r="L15" s="226">
        <f>K15*H15</f>
        <v>4034.4827586206889</v>
      </c>
      <c r="M15" s="201">
        <f t="shared" si="0"/>
        <v>4.8217416715365289</v>
      </c>
      <c r="N15" s="202">
        <f t="shared" si="1"/>
        <v>776.56420658448815</v>
      </c>
    </row>
    <row r="16" spans="2:16" hidden="1">
      <c r="B16" s="267">
        <v>12</v>
      </c>
      <c r="C16" s="267">
        <v>12</v>
      </c>
      <c r="D16" s="209"/>
      <c r="E16" s="178" t="e">
        <f>IF(VLOOKUP(D16,'ﾚｰﾃｨﾝｸﾞ計算書(TSF)'!$D$5:$H$61,2,FALSE)=0," ",VLOOKUP(D16,'ﾚｰﾃｨﾝｸﾞ計算書(TSF)'!$D$5:$H$61,2,FALSE))</f>
        <v>#N/A</v>
      </c>
      <c r="F16" s="198" t="e">
        <f>VLOOKUP(D16,'ﾚｰﾃｨﾝｸﾞ計算書(TSF)'!$D$5:$H$61,3,FALSE)</f>
        <v>#N/A</v>
      </c>
      <c r="G16" s="199" t="e">
        <f>VLOOKUP(D16,'ﾚｰﾃｨﾝｸﾞ計算書(TSF)'!$D$5:$H$61,4,FALSE)</f>
        <v>#N/A</v>
      </c>
      <c r="H16" s="200" t="e">
        <f t="shared" ref="H5:H21" si="2">600/G16</f>
        <v>#N/A</v>
      </c>
      <c r="I16" s="210" t="e">
        <f>VLOOKUP(D16,レース着順とタイム!$C$7:$D$43,2,FALSE)</f>
        <v>#N/A</v>
      </c>
      <c r="J16" s="193" t="e">
        <f t="shared" ref="J5:J21" si="3">(I16-$I$3)*86400</f>
        <v>#N/A</v>
      </c>
      <c r="K16" s="194" t="e">
        <f t="shared" ref="K5:K17" si="4">IF(J16&gt;0,J16,99999999)</f>
        <v>#N/A</v>
      </c>
      <c r="L16" s="226" t="e">
        <f t="shared" ref="L5:L17" si="5">K16*H16</f>
        <v>#N/A</v>
      </c>
      <c r="M16" s="201" t="e">
        <f t="shared" si="0"/>
        <v>#N/A</v>
      </c>
      <c r="N16" s="202" t="e">
        <f t="shared" si="1"/>
        <v>#N/A</v>
      </c>
    </row>
    <row r="17" spans="2:14" hidden="1">
      <c r="B17" s="267">
        <v>13</v>
      </c>
      <c r="C17" s="267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si="2"/>
        <v>#N/A</v>
      </c>
      <c r="I17" s="210" t="e">
        <f>VLOOKUP(D17,レース着順とタイム!$C$7:$D$43,2,FALSE)</f>
        <v>#N/A</v>
      </c>
      <c r="J17" s="193" t="e">
        <f t="shared" si="3"/>
        <v>#N/A</v>
      </c>
      <c r="K17" s="194" t="e">
        <f t="shared" si="4"/>
        <v>#N/A</v>
      </c>
      <c r="L17" s="226" t="e">
        <f t="shared" si="5"/>
        <v>#N/A</v>
      </c>
      <c r="M17" s="201" t="e">
        <f t="shared" si="0"/>
        <v>#N/A</v>
      </c>
      <c r="N17" s="202" t="e">
        <f t="shared" si="1"/>
        <v>#N/A</v>
      </c>
    </row>
    <row r="18" spans="2:14" hidden="1">
      <c r="B18" s="267">
        <v>14</v>
      </c>
      <c r="C18" s="267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2"/>
        <v>#N/A</v>
      </c>
      <c r="I18" s="210" t="e">
        <f>VLOOKUP(D18,レース着順とタイム!$C$7:$D$43,2,FALSE)</f>
        <v>#N/A</v>
      </c>
      <c r="J18" s="193" t="e">
        <f t="shared" si="3"/>
        <v>#N/A</v>
      </c>
      <c r="K18" s="194" t="e">
        <f>IF(J18&gt;0,J18,99999999)</f>
        <v>#N/A</v>
      </c>
      <c r="L18" s="226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67">
        <v>15</v>
      </c>
      <c r="C19" s="267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2"/>
        <v>#N/A</v>
      </c>
      <c r="I19" s="210" t="e">
        <f>VLOOKUP(D19,レース着順とタイム!$C$7:$D$43,2,FALSE)</f>
        <v>#N/A</v>
      </c>
      <c r="J19" s="193" t="e">
        <f t="shared" si="3"/>
        <v>#N/A</v>
      </c>
      <c r="K19" s="194" t="e">
        <f>IF(J19&gt;0,J19,99999999)</f>
        <v>#N/A</v>
      </c>
      <c r="L19" s="226" t="e">
        <f>K19*H19</f>
        <v>#N/A</v>
      </c>
      <c r="M19" s="201" t="e">
        <f t="shared" si="0"/>
        <v>#N/A</v>
      </c>
      <c r="N19" s="202" t="e">
        <f t="shared" si="1"/>
        <v>#N/A</v>
      </c>
    </row>
    <row r="20" spans="2:14" hidden="1">
      <c r="B20" s="267">
        <v>16</v>
      </c>
      <c r="C20" s="267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2"/>
        <v>#N/A</v>
      </c>
      <c r="I20" s="210" t="e">
        <f>VLOOKUP(D20,レース着順とタイム!$C$7:$D$43,2,FALSE)</f>
        <v>#N/A</v>
      </c>
      <c r="J20" s="193" t="e">
        <f t="shared" si="3"/>
        <v>#N/A</v>
      </c>
      <c r="K20" s="194" t="e">
        <f>IF(J20&gt;0,J20,99999999)</f>
        <v>#N/A</v>
      </c>
      <c r="L20" s="226" t="e">
        <f>K20*H20</f>
        <v>#N/A</v>
      </c>
      <c r="M20" s="201" t="e">
        <f t="shared" si="0"/>
        <v>#N/A</v>
      </c>
      <c r="N20" s="202" t="e">
        <f t="shared" si="1"/>
        <v>#N/A</v>
      </c>
    </row>
    <row r="21" spans="2:14" hidden="1">
      <c r="B21" s="267">
        <v>17</v>
      </c>
      <c r="C21" s="267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2"/>
        <v>#N/A</v>
      </c>
      <c r="I21" s="210" t="e">
        <f>VLOOKUP(D21,レース着順とタイム!$C$7:$D$43,2,FALSE)</f>
        <v>#N/A</v>
      </c>
      <c r="J21" s="193" t="e">
        <f t="shared" si="3"/>
        <v>#N/A</v>
      </c>
      <c r="K21" s="194" t="e">
        <f>IF(J21&gt;0,J21,99999999)</f>
        <v>#N/A</v>
      </c>
      <c r="L21" s="226" t="e">
        <f>K21*H21</f>
        <v>#N/A</v>
      </c>
      <c r="M21" s="201" t="e">
        <f t="shared" si="0"/>
        <v>#N/A</v>
      </c>
      <c r="N21" s="202" t="e">
        <f t="shared" si="1"/>
        <v>#N/A</v>
      </c>
    </row>
    <row r="22" spans="2:14" hidden="1">
      <c r="B22" s="267">
        <v>18</v>
      </c>
      <c r="C22" s="267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6">600/G22</f>
        <v>#N/A</v>
      </c>
      <c r="I22" s="210" t="e">
        <f>VLOOKUP(D22,レース着順とタイム!$C$7:$D$43,2,FALSE)</f>
        <v>#N/A</v>
      </c>
      <c r="J22" s="193" t="e">
        <f t="shared" ref="J22:J41" si="7">(I22-$I$3)*86400</f>
        <v>#N/A</v>
      </c>
      <c r="K22" s="194" t="e">
        <f t="shared" ref="K22:K41" si="8">IF(J22&gt;0,J22,99999999)</f>
        <v>#N/A</v>
      </c>
      <c r="L22" s="226" t="e">
        <f t="shared" ref="L22:L41" si="9">K22*H22</f>
        <v>#N/A</v>
      </c>
      <c r="M22" s="201" t="e">
        <f t="shared" ref="M22:M41" si="10">IF(L22=0, "-",L22-L21)</f>
        <v>#N/A</v>
      </c>
      <c r="N22" s="202" t="e">
        <f t="shared" ref="N22:N41" si="11">IF(L22=0, "-", L22-$L$5)</f>
        <v>#N/A</v>
      </c>
    </row>
    <row r="23" spans="2:14" hidden="1">
      <c r="B23" s="267">
        <v>19</v>
      </c>
      <c r="C23" s="267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6"/>
        <v>#N/A</v>
      </c>
      <c r="I23" s="210" t="e">
        <f>VLOOKUP(D23,レース着順とタイム!$C$7:$D$43,2,FALSE)</f>
        <v>#N/A</v>
      </c>
      <c r="J23" s="193" t="e">
        <f t="shared" si="7"/>
        <v>#N/A</v>
      </c>
      <c r="K23" s="194" t="e">
        <f t="shared" si="8"/>
        <v>#N/A</v>
      </c>
      <c r="L23" s="226" t="e">
        <f t="shared" si="9"/>
        <v>#N/A</v>
      </c>
      <c r="M23" s="201" t="e">
        <f t="shared" si="10"/>
        <v>#N/A</v>
      </c>
      <c r="N23" s="202" t="e">
        <f t="shared" si="11"/>
        <v>#N/A</v>
      </c>
    </row>
    <row r="24" spans="2:14" hidden="1">
      <c r="B24" s="267">
        <v>20</v>
      </c>
      <c r="C24" s="267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6"/>
        <v>#N/A</v>
      </c>
      <c r="I24" s="210" t="e">
        <f>VLOOKUP(D24,レース着順とタイム!$C$7:$D$43,2,FALSE)</f>
        <v>#N/A</v>
      </c>
      <c r="J24" s="193" t="e">
        <f t="shared" si="7"/>
        <v>#N/A</v>
      </c>
      <c r="K24" s="194" t="e">
        <f t="shared" si="8"/>
        <v>#N/A</v>
      </c>
      <c r="L24" s="226" t="e">
        <f t="shared" si="9"/>
        <v>#N/A</v>
      </c>
      <c r="M24" s="201" t="e">
        <f t="shared" si="10"/>
        <v>#N/A</v>
      </c>
      <c r="N24" s="202" t="e">
        <f t="shared" si="11"/>
        <v>#N/A</v>
      </c>
    </row>
    <row r="25" spans="2:14" hidden="1">
      <c r="B25" s="267">
        <v>21</v>
      </c>
      <c r="C25" s="267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6"/>
        <v>#N/A</v>
      </c>
      <c r="I25" s="210" t="e">
        <f>VLOOKUP(D25,レース着順とタイム!$C$7:$D$43,2,FALSE)</f>
        <v>#N/A</v>
      </c>
      <c r="J25" s="193" t="e">
        <f t="shared" si="7"/>
        <v>#N/A</v>
      </c>
      <c r="K25" s="194" t="e">
        <f t="shared" si="8"/>
        <v>#N/A</v>
      </c>
      <c r="L25" s="226" t="e">
        <f t="shared" si="9"/>
        <v>#N/A</v>
      </c>
      <c r="M25" s="201" t="e">
        <f t="shared" si="10"/>
        <v>#N/A</v>
      </c>
      <c r="N25" s="202" t="e">
        <f t="shared" si="11"/>
        <v>#N/A</v>
      </c>
    </row>
    <row r="26" spans="2:14" hidden="1">
      <c r="B26" s="267">
        <v>22</v>
      </c>
      <c r="C26" s="267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6"/>
        <v>#N/A</v>
      </c>
      <c r="I26" s="210" t="e">
        <f>VLOOKUP(D26,レース着順とタイム!$C$7:$D$43,2,FALSE)</f>
        <v>#N/A</v>
      </c>
      <c r="J26" s="193" t="e">
        <f t="shared" si="7"/>
        <v>#N/A</v>
      </c>
      <c r="K26" s="194" t="e">
        <f t="shared" si="8"/>
        <v>#N/A</v>
      </c>
      <c r="L26" s="226" t="e">
        <f t="shared" si="9"/>
        <v>#N/A</v>
      </c>
      <c r="M26" s="201" t="e">
        <f t="shared" si="10"/>
        <v>#N/A</v>
      </c>
      <c r="N26" s="202" t="e">
        <f t="shared" si="11"/>
        <v>#N/A</v>
      </c>
    </row>
    <row r="27" spans="2:14" hidden="1">
      <c r="B27" s="267">
        <v>23</v>
      </c>
      <c r="C27" s="267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6"/>
        <v>#N/A</v>
      </c>
      <c r="I27" s="210" t="e">
        <f>VLOOKUP(D27,レース着順とタイム!$C$7:$D$43,2,FALSE)</f>
        <v>#N/A</v>
      </c>
      <c r="J27" s="193" t="e">
        <f t="shared" si="7"/>
        <v>#N/A</v>
      </c>
      <c r="K27" s="194" t="e">
        <f t="shared" si="8"/>
        <v>#N/A</v>
      </c>
      <c r="L27" s="226" t="e">
        <f t="shared" si="9"/>
        <v>#N/A</v>
      </c>
      <c r="M27" s="201" t="e">
        <f t="shared" si="10"/>
        <v>#N/A</v>
      </c>
      <c r="N27" s="202" t="e">
        <f t="shared" si="11"/>
        <v>#N/A</v>
      </c>
    </row>
    <row r="28" spans="2:14" hidden="1">
      <c r="B28" s="267">
        <v>24</v>
      </c>
      <c r="C28" s="267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6"/>
        <v>#N/A</v>
      </c>
      <c r="I28" s="210" t="e">
        <f>VLOOKUP(D28,レース着順とタイム!$C$7:$D$43,2,FALSE)</f>
        <v>#N/A</v>
      </c>
      <c r="J28" s="193" t="e">
        <f t="shared" si="7"/>
        <v>#N/A</v>
      </c>
      <c r="K28" s="194" t="e">
        <f t="shared" si="8"/>
        <v>#N/A</v>
      </c>
      <c r="L28" s="226" t="e">
        <f t="shared" si="9"/>
        <v>#N/A</v>
      </c>
      <c r="M28" s="201" t="e">
        <f t="shared" si="10"/>
        <v>#N/A</v>
      </c>
      <c r="N28" s="202" t="e">
        <f t="shared" si="11"/>
        <v>#N/A</v>
      </c>
    </row>
    <row r="29" spans="2:14" hidden="1">
      <c r="B29" s="267">
        <v>25</v>
      </c>
      <c r="C29" s="267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6"/>
        <v>#N/A</v>
      </c>
      <c r="I29" s="210" t="e">
        <f>VLOOKUP(D29,レース着順とタイム!$C$7:$D$43,2,FALSE)</f>
        <v>#N/A</v>
      </c>
      <c r="J29" s="193" t="e">
        <f t="shared" si="7"/>
        <v>#N/A</v>
      </c>
      <c r="K29" s="194" t="e">
        <f t="shared" si="8"/>
        <v>#N/A</v>
      </c>
      <c r="L29" s="226" t="e">
        <f t="shared" si="9"/>
        <v>#N/A</v>
      </c>
      <c r="M29" s="201" t="e">
        <f t="shared" si="10"/>
        <v>#N/A</v>
      </c>
      <c r="N29" s="202" t="e">
        <f t="shared" si="11"/>
        <v>#N/A</v>
      </c>
    </row>
    <row r="30" spans="2:14" hidden="1">
      <c r="B30" s="267">
        <v>26</v>
      </c>
      <c r="C30" s="267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6"/>
        <v>#N/A</v>
      </c>
      <c r="I30" s="210" t="e">
        <f>VLOOKUP(D30,レース着順とタイム!$C$7:$D$43,2,FALSE)</f>
        <v>#N/A</v>
      </c>
      <c r="J30" s="193" t="e">
        <f t="shared" si="7"/>
        <v>#N/A</v>
      </c>
      <c r="K30" s="194" t="e">
        <f t="shared" si="8"/>
        <v>#N/A</v>
      </c>
      <c r="L30" s="226" t="e">
        <f t="shared" si="9"/>
        <v>#N/A</v>
      </c>
      <c r="M30" s="201" t="e">
        <f t="shared" si="10"/>
        <v>#N/A</v>
      </c>
      <c r="N30" s="202" t="e">
        <f t="shared" si="11"/>
        <v>#N/A</v>
      </c>
    </row>
    <row r="31" spans="2:14" hidden="1">
      <c r="B31" s="267">
        <v>27</v>
      </c>
      <c r="C31" s="267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6"/>
        <v>#N/A</v>
      </c>
      <c r="I31" s="210" t="e">
        <f>VLOOKUP(D31,レース着順とタイム!$C$7:$D$43,2,FALSE)</f>
        <v>#N/A</v>
      </c>
      <c r="J31" s="193" t="e">
        <f t="shared" si="7"/>
        <v>#N/A</v>
      </c>
      <c r="K31" s="194" t="e">
        <f t="shared" si="8"/>
        <v>#N/A</v>
      </c>
      <c r="L31" s="226" t="e">
        <f t="shared" si="9"/>
        <v>#N/A</v>
      </c>
      <c r="M31" s="201" t="e">
        <f t="shared" si="10"/>
        <v>#N/A</v>
      </c>
      <c r="N31" s="202" t="e">
        <f t="shared" si="11"/>
        <v>#N/A</v>
      </c>
    </row>
    <row r="32" spans="2:14" hidden="1">
      <c r="B32" s="267">
        <v>28</v>
      </c>
      <c r="C32" s="267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6"/>
        <v>#N/A</v>
      </c>
      <c r="I32" s="210" t="e">
        <f>VLOOKUP(D32,レース着順とタイム!$C$7:$D$43,2,FALSE)</f>
        <v>#N/A</v>
      </c>
      <c r="J32" s="193" t="e">
        <f t="shared" si="7"/>
        <v>#N/A</v>
      </c>
      <c r="K32" s="194" t="e">
        <f t="shared" si="8"/>
        <v>#N/A</v>
      </c>
      <c r="L32" s="226" t="e">
        <f t="shared" si="9"/>
        <v>#N/A</v>
      </c>
      <c r="M32" s="201" t="e">
        <f t="shared" si="10"/>
        <v>#N/A</v>
      </c>
      <c r="N32" s="202" t="e">
        <f t="shared" si="11"/>
        <v>#N/A</v>
      </c>
    </row>
    <row r="33" spans="2:14" hidden="1">
      <c r="B33" s="267">
        <v>29</v>
      </c>
      <c r="C33" s="267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6"/>
        <v>#N/A</v>
      </c>
      <c r="I33" s="210" t="e">
        <f>VLOOKUP(D33,レース着順とタイム!$C$7:$D$43,2,FALSE)</f>
        <v>#N/A</v>
      </c>
      <c r="J33" s="193" t="e">
        <f t="shared" si="7"/>
        <v>#N/A</v>
      </c>
      <c r="K33" s="194" t="e">
        <f t="shared" si="8"/>
        <v>#N/A</v>
      </c>
      <c r="L33" s="226" t="e">
        <f t="shared" si="9"/>
        <v>#N/A</v>
      </c>
      <c r="M33" s="201" t="e">
        <f t="shared" si="10"/>
        <v>#N/A</v>
      </c>
      <c r="N33" s="202" t="e">
        <f t="shared" si="11"/>
        <v>#N/A</v>
      </c>
    </row>
    <row r="34" spans="2:14" hidden="1">
      <c r="B34" s="267">
        <v>30</v>
      </c>
      <c r="C34" s="267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6"/>
        <v>#N/A</v>
      </c>
      <c r="I34" s="210" t="e">
        <f>VLOOKUP(D34,レース着順とタイム!$C$7:$D$43,2,FALSE)</f>
        <v>#N/A</v>
      </c>
      <c r="J34" s="193" t="e">
        <f t="shared" si="7"/>
        <v>#N/A</v>
      </c>
      <c r="K34" s="194" t="e">
        <f t="shared" si="8"/>
        <v>#N/A</v>
      </c>
      <c r="L34" s="226" t="e">
        <f t="shared" si="9"/>
        <v>#N/A</v>
      </c>
      <c r="M34" s="201" t="e">
        <f t="shared" si="10"/>
        <v>#N/A</v>
      </c>
      <c r="N34" s="202" t="e">
        <f t="shared" si="11"/>
        <v>#N/A</v>
      </c>
    </row>
    <row r="35" spans="2:14" hidden="1">
      <c r="B35" s="267">
        <v>31</v>
      </c>
      <c r="C35" s="267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6"/>
        <v>#N/A</v>
      </c>
      <c r="I35" s="210" t="e">
        <f>VLOOKUP(D35,レース着順とタイム!$C$7:$D$43,2,FALSE)</f>
        <v>#N/A</v>
      </c>
      <c r="J35" s="193" t="e">
        <f t="shared" si="7"/>
        <v>#N/A</v>
      </c>
      <c r="K35" s="194" t="e">
        <f t="shared" si="8"/>
        <v>#N/A</v>
      </c>
      <c r="L35" s="226" t="e">
        <f t="shared" si="9"/>
        <v>#N/A</v>
      </c>
      <c r="M35" s="201" t="e">
        <f t="shared" si="10"/>
        <v>#N/A</v>
      </c>
      <c r="N35" s="202" t="e">
        <f t="shared" si="11"/>
        <v>#N/A</v>
      </c>
    </row>
    <row r="36" spans="2:14" hidden="1">
      <c r="B36" s="267">
        <v>32</v>
      </c>
      <c r="C36" s="267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6"/>
        <v>#N/A</v>
      </c>
      <c r="I36" s="210" t="e">
        <f>VLOOKUP(D36,レース着順とタイム!$C$7:$D$43,2,FALSE)</f>
        <v>#N/A</v>
      </c>
      <c r="J36" s="193" t="e">
        <f t="shared" si="7"/>
        <v>#N/A</v>
      </c>
      <c r="K36" s="194" t="e">
        <f t="shared" si="8"/>
        <v>#N/A</v>
      </c>
      <c r="L36" s="226" t="e">
        <f t="shared" si="9"/>
        <v>#N/A</v>
      </c>
      <c r="M36" s="201" t="e">
        <f t="shared" si="10"/>
        <v>#N/A</v>
      </c>
      <c r="N36" s="202" t="e">
        <f t="shared" si="11"/>
        <v>#N/A</v>
      </c>
    </row>
    <row r="37" spans="2:14" hidden="1">
      <c r="B37" s="267">
        <v>33</v>
      </c>
      <c r="C37" s="267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6"/>
        <v>#N/A</v>
      </c>
      <c r="I37" s="210" t="e">
        <f>VLOOKUP(D37,レース着順とタイム!$C$7:$D$43,2,FALSE)</f>
        <v>#N/A</v>
      </c>
      <c r="J37" s="193" t="e">
        <f t="shared" si="7"/>
        <v>#N/A</v>
      </c>
      <c r="K37" s="194" t="e">
        <f t="shared" si="8"/>
        <v>#N/A</v>
      </c>
      <c r="L37" s="226" t="e">
        <f t="shared" si="9"/>
        <v>#N/A</v>
      </c>
      <c r="M37" s="201" t="e">
        <f t="shared" si="10"/>
        <v>#N/A</v>
      </c>
      <c r="N37" s="202" t="e">
        <f t="shared" si="11"/>
        <v>#N/A</v>
      </c>
    </row>
    <row r="38" spans="2:14" hidden="1">
      <c r="B38" s="267">
        <v>34</v>
      </c>
      <c r="C38" s="267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6"/>
        <v>#N/A</v>
      </c>
      <c r="I38" s="210" t="e">
        <f>VLOOKUP(D38,レース着順とタイム!$C$7:$D$43,2,FALSE)</f>
        <v>#N/A</v>
      </c>
      <c r="J38" s="193" t="e">
        <f t="shared" si="7"/>
        <v>#N/A</v>
      </c>
      <c r="K38" s="194" t="e">
        <f t="shared" si="8"/>
        <v>#N/A</v>
      </c>
      <c r="L38" s="226" t="e">
        <f t="shared" si="9"/>
        <v>#N/A</v>
      </c>
      <c r="M38" s="201" t="e">
        <f t="shared" si="10"/>
        <v>#N/A</v>
      </c>
      <c r="N38" s="202" t="e">
        <f t="shared" si="11"/>
        <v>#N/A</v>
      </c>
    </row>
    <row r="39" spans="2:14" hidden="1">
      <c r="B39" s="267">
        <v>35</v>
      </c>
      <c r="C39" s="267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6"/>
        <v>#N/A</v>
      </c>
      <c r="I39" s="210" t="e">
        <f>VLOOKUP(D39,レース着順とタイム!$C$7:$D$43,2,FALSE)</f>
        <v>#N/A</v>
      </c>
      <c r="J39" s="193" t="e">
        <f t="shared" si="7"/>
        <v>#N/A</v>
      </c>
      <c r="K39" s="194" t="e">
        <f t="shared" si="8"/>
        <v>#N/A</v>
      </c>
      <c r="L39" s="226" t="e">
        <f t="shared" si="9"/>
        <v>#N/A</v>
      </c>
      <c r="M39" s="201" t="e">
        <f t="shared" si="10"/>
        <v>#N/A</v>
      </c>
      <c r="N39" s="202" t="e">
        <f t="shared" si="11"/>
        <v>#N/A</v>
      </c>
    </row>
    <row r="40" spans="2:14" hidden="1">
      <c r="B40" s="267">
        <v>36</v>
      </c>
      <c r="C40" s="267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6"/>
        <v>#N/A</v>
      </c>
      <c r="I40" s="210" t="e">
        <f>VLOOKUP(D40,レース着順とタイム!$C$7:$D$43,2,FALSE)</f>
        <v>#N/A</v>
      </c>
      <c r="J40" s="193" t="e">
        <f t="shared" si="7"/>
        <v>#N/A</v>
      </c>
      <c r="K40" s="194" t="e">
        <f t="shared" si="8"/>
        <v>#N/A</v>
      </c>
      <c r="L40" s="226" t="e">
        <f t="shared" si="9"/>
        <v>#N/A</v>
      </c>
      <c r="M40" s="201" t="e">
        <f t="shared" si="10"/>
        <v>#N/A</v>
      </c>
      <c r="N40" s="202" t="e">
        <f t="shared" si="11"/>
        <v>#N/A</v>
      </c>
    </row>
    <row r="41" spans="2:14" ht="14.25" hidden="1" thickBot="1">
      <c r="B41" s="293">
        <v>37</v>
      </c>
      <c r="C41" s="293">
        <v>37</v>
      </c>
      <c r="D41" s="294"/>
      <c r="E41" s="295" t="e">
        <f>IF(VLOOKUP(D41,'ﾚｰﾃｨﾝｸﾞ計算書(TSF)'!$D$5:$H$61,2,FALSE)=0," ",VLOOKUP(D41,'ﾚｰﾃｨﾝｸﾞ計算書(TSF)'!$D$5:$H$61,2,FALSE))</f>
        <v>#N/A</v>
      </c>
      <c r="F41" s="296" t="e">
        <f>VLOOKUP(D41,'ﾚｰﾃｨﾝｸﾞ計算書(TSF)'!$D$5:$H$61,3,FALSE)</f>
        <v>#N/A</v>
      </c>
      <c r="G41" s="297" t="e">
        <f>VLOOKUP(D41,'ﾚｰﾃｨﾝｸﾞ計算書(TSF)'!$D$5:$H$61,4,FALSE)</f>
        <v>#N/A</v>
      </c>
      <c r="H41" s="298" t="e">
        <f t="shared" si="6"/>
        <v>#N/A</v>
      </c>
      <c r="I41" s="299" t="e">
        <f>VLOOKUP(D41,レース着順とタイム!$C$7:$D$43,2,FALSE)</f>
        <v>#N/A</v>
      </c>
      <c r="J41" s="300" t="e">
        <f t="shared" si="7"/>
        <v>#N/A</v>
      </c>
      <c r="K41" s="301" t="e">
        <f t="shared" si="8"/>
        <v>#N/A</v>
      </c>
      <c r="L41" s="302" t="e">
        <f t="shared" si="9"/>
        <v>#N/A</v>
      </c>
      <c r="M41" s="303" t="e">
        <f t="shared" si="10"/>
        <v>#N/A</v>
      </c>
      <c r="N41" s="304" t="e">
        <f t="shared" si="11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225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198</v>
      </c>
    </row>
  </sheetData>
  <sortState ref="C5:L15">
    <sortCondition ref="L5:L15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19" zoomScaleNormal="100" zoomScaleSheetLayoutView="100" workbookViewId="0">
      <selection activeCell="P42" sqref="P42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7" t="s">
        <v>282</v>
      </c>
      <c r="C2" s="327"/>
      <c r="D2" s="327"/>
      <c r="E2" s="327"/>
      <c r="F2" s="327"/>
      <c r="G2" s="327"/>
      <c r="H2" s="327"/>
      <c r="I2" s="327"/>
    </row>
    <row r="3" spans="2:14" ht="22.7" customHeight="1" thickBot="1">
      <c r="B3" s="326" t="s">
        <v>0</v>
      </c>
      <c r="C3" s="326"/>
      <c r="D3" s="326"/>
      <c r="E3" s="268"/>
      <c r="F3" s="269"/>
      <c r="G3" s="269"/>
      <c r="H3" s="85"/>
      <c r="I3" s="270"/>
      <c r="J3" s="270"/>
      <c r="K3" s="270"/>
      <c r="L3" s="270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11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175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1" t="s">
        <v>210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211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212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252</v>
      </c>
      <c r="E16" s="17" t="s">
        <v>41</v>
      </c>
      <c r="F16" s="16" t="s">
        <v>253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205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171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213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214</v>
      </c>
      <c r="E20" s="17" t="s">
        <v>254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172</v>
      </c>
      <c r="E21" s="17" t="s">
        <v>255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215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194</v>
      </c>
      <c r="E23" s="135"/>
      <c r="F23" s="16" t="s">
        <v>193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216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173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174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217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218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219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208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220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221</v>
      </c>
      <c r="E34" s="17"/>
      <c r="F34" s="16" t="s">
        <v>204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209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3"/>
      <c r="C36" s="274"/>
      <c r="D36" s="275" t="s">
        <v>256</v>
      </c>
      <c r="E36" s="135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>
      <c r="B37" s="273"/>
      <c r="C37" s="274"/>
      <c r="D37" s="278" t="s">
        <v>257</v>
      </c>
      <c r="E37" s="279"/>
      <c r="F37" s="280" t="s">
        <v>258</v>
      </c>
      <c r="G37" s="281"/>
      <c r="H37" s="282"/>
      <c r="I37" s="276"/>
      <c r="J37" s="21"/>
      <c r="K37" s="277"/>
      <c r="L37" s="23">
        <f t="shared" si="3"/>
        <v>0</v>
      </c>
    </row>
    <row r="38" spans="2:12">
      <c r="B38" s="273"/>
      <c r="C38" s="274"/>
      <c r="D38" s="283" t="s">
        <v>259</v>
      </c>
      <c r="E38" s="279"/>
      <c r="F38" s="280" t="s">
        <v>260</v>
      </c>
      <c r="G38" s="281"/>
      <c r="H38" s="282"/>
      <c r="I38" s="276"/>
      <c r="J38" s="21"/>
      <c r="K38" s="277"/>
      <c r="L38" s="23">
        <f t="shared" si="3"/>
        <v>0</v>
      </c>
    </row>
    <row r="39" spans="2:12">
      <c r="B39" s="273"/>
      <c r="C39" s="274"/>
      <c r="D39" s="284" t="s">
        <v>261</v>
      </c>
      <c r="E39" s="279"/>
      <c r="F39" s="280" t="s">
        <v>262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>
      <c r="B40" s="35"/>
      <c r="C40" s="36"/>
      <c r="D40" s="285" t="s">
        <v>263</v>
      </c>
      <c r="E40" s="175"/>
      <c r="F40" s="176" t="s">
        <v>264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128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226</v>
      </c>
      <c r="F43" s="32" t="s">
        <v>227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228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229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230</v>
      </c>
      <c r="E51" s="135" t="s">
        <v>231</v>
      </c>
      <c r="F51" s="32" t="s">
        <v>232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235</v>
      </c>
      <c r="E52" s="135" t="s">
        <v>233</v>
      </c>
      <c r="F52" s="32" t="s">
        <v>234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265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266</v>
      </c>
      <c r="E60" s="135"/>
      <c r="F60" s="32" t="s">
        <v>267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 t="s">
        <v>279</v>
      </c>
      <c r="E61" s="175"/>
      <c r="F61" s="176" t="s">
        <v>281</v>
      </c>
      <c r="G61" s="37">
        <v>660</v>
      </c>
      <c r="H61" s="38">
        <f t="shared" si="0"/>
        <v>0.90909090909090906</v>
      </c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225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198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17" activePane="bottomLeft" state="frozen"/>
      <selection activeCell="H4" sqref="H4"/>
      <selection pane="bottomLeft" activeCell="B4" sqref="B4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2" t="s">
        <v>283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</row>
    <row r="3" spans="2:13" ht="21" customHeight="1" thickBot="1">
      <c r="I3" s="241"/>
      <c r="K3" s="286"/>
      <c r="L3" s="328"/>
      <c r="M3" s="329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18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18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18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87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18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18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18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88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26" sqref="E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268</v>
      </c>
      <c r="C3" s="79"/>
      <c r="D3" s="79"/>
      <c r="E3" s="105"/>
    </row>
    <row r="4" spans="1:5" ht="14.25" thickBot="1">
      <c r="B4" s="81" t="s">
        <v>269</v>
      </c>
      <c r="C4" s="82" t="s">
        <v>270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227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229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265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271</v>
      </c>
      <c r="C16" s="143"/>
      <c r="D16" s="120" t="s">
        <v>267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272</v>
      </c>
      <c r="E17" s="111">
        <v>720</v>
      </c>
    </row>
    <row r="18" spans="1:5">
      <c r="A18">
        <v>14</v>
      </c>
      <c r="B18" s="109" t="s">
        <v>230</v>
      </c>
      <c r="C18" s="138">
        <v>4504</v>
      </c>
      <c r="D18" s="110" t="s">
        <v>232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228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319" t="s">
        <v>278</v>
      </c>
      <c r="C25" s="140"/>
      <c r="D25" s="117" t="s">
        <v>280</v>
      </c>
      <c r="E25" s="118">
        <v>660</v>
      </c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197</v>
      </c>
    </row>
    <row r="37" spans="1:5">
      <c r="C37" t="s">
        <v>199</v>
      </c>
    </row>
    <row r="39" spans="1:5">
      <c r="B39" t="s">
        <v>200</v>
      </c>
    </row>
    <row r="40" spans="1:5">
      <c r="C40" t="s">
        <v>201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3"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5">
        <v>44652</v>
      </c>
      <c r="C1" s="306" t="s">
        <v>224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0" t="s">
        <v>223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1"/>
      <c r="E5" s="315" t="s">
        <v>108</v>
      </c>
      <c r="F5" s="162"/>
      <c r="G5" s="163" t="s">
        <v>195</v>
      </c>
    </row>
    <row r="6" spans="1:9">
      <c r="A6" s="93">
        <v>1</v>
      </c>
      <c r="B6" s="307" t="s">
        <v>206</v>
      </c>
      <c r="C6" s="308" t="s">
        <v>207</v>
      </c>
      <c r="D6" s="309">
        <v>29312</v>
      </c>
      <c r="E6" s="316">
        <f>DATEDIF(D6,$B$1,"Y")</f>
        <v>42</v>
      </c>
      <c r="F6" s="310">
        <f>(E6-1)/5</f>
        <v>8.1999999999999993</v>
      </c>
      <c r="G6" s="311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17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17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191</v>
      </c>
      <c r="C9" s="22" t="s">
        <v>23</v>
      </c>
      <c r="D9" s="97" t="s">
        <v>115</v>
      </c>
      <c r="E9" s="317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176</v>
      </c>
      <c r="C10" s="22" t="s">
        <v>13</v>
      </c>
      <c r="D10" s="97">
        <v>30127</v>
      </c>
      <c r="E10" s="317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17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17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177</v>
      </c>
      <c r="C13" s="22"/>
      <c r="D13" s="97" t="s">
        <v>114</v>
      </c>
      <c r="E13" s="317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178</v>
      </c>
      <c r="C14" s="30" t="s">
        <v>94</v>
      </c>
      <c r="D14" s="94">
        <v>34425</v>
      </c>
      <c r="E14" s="317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179</v>
      </c>
      <c r="C15" s="22" t="s">
        <v>15</v>
      </c>
      <c r="D15" s="97" t="s">
        <v>111</v>
      </c>
      <c r="E15" s="317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17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180</v>
      </c>
      <c r="C17" s="22" t="s">
        <v>95</v>
      </c>
      <c r="D17" s="97">
        <v>33147</v>
      </c>
      <c r="E17" s="317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181</v>
      </c>
      <c r="C18" s="22" t="s">
        <v>14</v>
      </c>
      <c r="D18" s="97" t="s">
        <v>110</v>
      </c>
      <c r="E18" s="317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182</v>
      </c>
      <c r="C19" s="32" t="s">
        <v>164</v>
      </c>
      <c r="D19" s="97">
        <v>33359</v>
      </c>
      <c r="E19" s="317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252</v>
      </c>
      <c r="C20" s="22" t="s">
        <v>133</v>
      </c>
      <c r="D20" s="97">
        <v>35400</v>
      </c>
      <c r="E20" s="317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183</v>
      </c>
      <c r="C21" s="22" t="s">
        <v>97</v>
      </c>
      <c r="D21" s="97">
        <v>32264</v>
      </c>
      <c r="E21" s="317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184</v>
      </c>
      <c r="C22" s="22" t="s">
        <v>16</v>
      </c>
      <c r="D22" s="97" t="s">
        <v>112</v>
      </c>
      <c r="E22" s="317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185</v>
      </c>
      <c r="C23" s="22" t="s">
        <v>14</v>
      </c>
      <c r="D23" s="97" t="s">
        <v>113</v>
      </c>
      <c r="E23" s="317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186</v>
      </c>
      <c r="C24" s="22" t="s">
        <v>17</v>
      </c>
      <c r="D24" s="97">
        <v>36312</v>
      </c>
      <c r="E24" s="317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17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187</v>
      </c>
      <c r="C26" s="22" t="s">
        <v>98</v>
      </c>
      <c r="D26" s="97">
        <v>32599</v>
      </c>
      <c r="E26" s="317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17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194</v>
      </c>
      <c r="C28" s="22" t="s">
        <v>196</v>
      </c>
      <c r="D28" s="97">
        <v>32964</v>
      </c>
      <c r="E28" s="317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17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188</v>
      </c>
      <c r="C30" s="22" t="s">
        <v>21</v>
      </c>
      <c r="D30" s="97" t="s">
        <v>114</v>
      </c>
      <c r="E30" s="317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174</v>
      </c>
      <c r="C31" s="22" t="s">
        <v>22</v>
      </c>
      <c r="D31" s="97">
        <v>27851</v>
      </c>
      <c r="E31" s="317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17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189</v>
      </c>
      <c r="C33" s="22" t="s">
        <v>24</v>
      </c>
      <c r="D33" s="97">
        <v>32721</v>
      </c>
      <c r="E33" s="317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190</v>
      </c>
      <c r="C34" s="22" t="s">
        <v>116</v>
      </c>
      <c r="D34" s="97">
        <v>39083</v>
      </c>
      <c r="E34" s="317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17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17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208</v>
      </c>
      <c r="C37" s="22"/>
      <c r="D37" s="97" t="s">
        <v>114</v>
      </c>
      <c r="E37" s="317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17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192</v>
      </c>
      <c r="C39" s="22" t="s">
        <v>165</v>
      </c>
      <c r="D39" s="97" t="s">
        <v>114</v>
      </c>
      <c r="E39" s="317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222</v>
      </c>
      <c r="C40" s="22" t="s">
        <v>20</v>
      </c>
      <c r="D40" s="97">
        <v>29007</v>
      </c>
      <c r="E40" s="317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209</v>
      </c>
      <c r="C41" s="22"/>
      <c r="D41" s="97" t="s">
        <v>114</v>
      </c>
      <c r="E41" s="317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273</v>
      </c>
      <c r="C42" s="22"/>
      <c r="D42" s="97" t="s">
        <v>114</v>
      </c>
      <c r="E42" s="317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257</v>
      </c>
      <c r="C43" s="277" t="s">
        <v>274</v>
      </c>
      <c r="D43" s="97">
        <v>32599</v>
      </c>
      <c r="E43" s="317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259</v>
      </c>
      <c r="C44" s="277" t="s">
        <v>275</v>
      </c>
      <c r="D44" s="97">
        <v>32905</v>
      </c>
      <c r="E44" s="317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2" t="s">
        <v>261</v>
      </c>
      <c r="C45" s="277" t="s">
        <v>276</v>
      </c>
      <c r="D45" s="97" t="s">
        <v>114</v>
      </c>
      <c r="E45" s="317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3">
        <v>41</v>
      </c>
      <c r="B46" s="99" t="s">
        <v>263</v>
      </c>
      <c r="C46" s="39" t="s">
        <v>277</v>
      </c>
      <c r="D46" s="314" t="s">
        <v>114</v>
      </c>
      <c r="E46" s="317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2022-10-23T06:18:10Z</dcterms:modified>
</cp:coreProperties>
</file>